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ANDRES\Documents\CARPETAANDRES\2021\MARZO\soportesindicadores\Reportesfebrero\"/>
    </mc:Choice>
  </mc:AlternateContent>
  <xr:revisionPtr revIDLastSave="0" documentId="13_ncr:1_{81976562-B712-4502-9C94-68C321684367}" xr6:coauthVersionLast="46" xr6:coauthVersionMax="46" xr10:uidLastSave="{00000000-0000-0000-0000-000000000000}"/>
  <bookViews>
    <workbookView xWindow="-120" yWindow="-120" windowWidth="20730" windowHeight="1116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92" l="1"/>
  <c r="H38" i="95" l="1"/>
  <c r="C38" i="95"/>
  <c r="E38" i="95" s="1"/>
  <c r="H37" i="95"/>
  <c r="E37" i="95"/>
  <c r="C37" i="95"/>
  <c r="H36" i="95"/>
  <c r="E36" i="95"/>
  <c r="C36" i="95"/>
  <c r="H35" i="95"/>
  <c r="E35" i="95"/>
  <c r="C35" i="95"/>
  <c r="H34" i="95"/>
  <c r="C34" i="95"/>
  <c r="E34" i="95" s="1"/>
  <c r="H33" i="95"/>
  <c r="E33" i="95"/>
  <c r="C33" i="95"/>
  <c r="H32" i="95"/>
  <c r="E32" i="95"/>
  <c r="C32" i="95"/>
  <c r="H31" i="95"/>
  <c r="E31" i="95"/>
  <c r="C31" i="95"/>
  <c r="H30" i="95"/>
  <c r="C30" i="95"/>
  <c r="E30" i="95" s="1"/>
  <c r="H29" i="95"/>
  <c r="E29" i="95"/>
  <c r="C29" i="95"/>
  <c r="E28" i="95"/>
  <c r="C28" i="95"/>
  <c r="D27" i="95"/>
  <c r="E27" i="95" s="1"/>
  <c r="C27" i="95"/>
  <c r="F27" i="95" s="1"/>
  <c r="F6" i="95"/>
  <c r="G27" i="93"/>
  <c r="I27" i="93" s="1"/>
  <c r="D28" i="87"/>
  <c r="D28" i="80"/>
  <c r="C35" i="90"/>
  <c r="C36" i="90"/>
  <c r="C37" i="90"/>
  <c r="C38" i="90"/>
  <c r="C34" i="90"/>
  <c r="C33" i="90"/>
  <c r="C32" i="90"/>
  <c r="C31" i="90"/>
  <c r="C30" i="90"/>
  <c r="C29" i="90"/>
  <c r="C28" i="90"/>
  <c r="C27" i="90"/>
  <c r="H29" i="92"/>
  <c r="H30" i="92"/>
  <c r="H31" i="92"/>
  <c r="H32" i="92"/>
  <c r="H33" i="92"/>
  <c r="H34" i="92"/>
  <c r="H35" i="92"/>
  <c r="H36" i="92"/>
  <c r="H37" i="92"/>
  <c r="H38" i="92"/>
  <c r="E38" i="92"/>
  <c r="E37" i="92"/>
  <c r="E36" i="92"/>
  <c r="E35" i="92"/>
  <c r="E34" i="92"/>
  <c r="E33" i="92"/>
  <c r="E32" i="92"/>
  <c r="E31" i="92"/>
  <c r="E30" i="92"/>
  <c r="E29" i="92"/>
  <c r="E28" i="92"/>
  <c r="G27" i="92"/>
  <c r="I27" i="92" s="1"/>
  <c r="H27" i="92"/>
  <c r="H28" i="92" s="1"/>
  <c r="F27" i="92"/>
  <c r="E27" i="92"/>
  <c r="H38" i="91"/>
  <c r="E38" i="91"/>
  <c r="H37" i="91"/>
  <c r="E37" i="91"/>
  <c r="H36" i="91"/>
  <c r="E36" i="91"/>
  <c r="H35" i="91"/>
  <c r="E35" i="91"/>
  <c r="H34" i="91"/>
  <c r="E34" i="91"/>
  <c r="H33" i="91"/>
  <c r="E33" i="91"/>
  <c r="H32" i="91"/>
  <c r="E32" i="91"/>
  <c r="H31" i="91"/>
  <c r="E31" i="91"/>
  <c r="H30" i="91"/>
  <c r="E30" i="91"/>
  <c r="H29" i="91"/>
  <c r="E29" i="91"/>
  <c r="E28" i="91"/>
  <c r="G27" i="91"/>
  <c r="I27" i="91"/>
  <c r="H27" i="91"/>
  <c r="H28" i="91" s="1"/>
  <c r="F27" i="91"/>
  <c r="E27" i="91"/>
  <c r="H27" i="90"/>
  <c r="H28" i="90" s="1"/>
  <c r="H29" i="90"/>
  <c r="H30" i="90"/>
  <c r="H31" i="90"/>
  <c r="H32" i="90"/>
  <c r="H33" i="90"/>
  <c r="H34" i="90"/>
  <c r="H35" i="90"/>
  <c r="H36" i="90"/>
  <c r="H37" i="90"/>
  <c r="H38" i="90"/>
  <c r="E38" i="90"/>
  <c r="E37" i="90"/>
  <c r="E36" i="90"/>
  <c r="E35" i="90"/>
  <c r="E34" i="90"/>
  <c r="E33" i="90"/>
  <c r="E32" i="90"/>
  <c r="E31" i="90"/>
  <c r="E30" i="90"/>
  <c r="E29" i="90"/>
  <c r="E28" i="90"/>
  <c r="G27" i="90"/>
  <c r="I27" i="90"/>
  <c r="F27" i="90"/>
  <c r="E27" i="90"/>
  <c r="H29" i="93"/>
  <c r="H30" i="93"/>
  <c r="H31" i="93"/>
  <c r="H32" i="93"/>
  <c r="H33" i="93"/>
  <c r="H34" i="93"/>
  <c r="H35" i="93"/>
  <c r="H36" i="93"/>
  <c r="H37" i="93"/>
  <c r="H38" i="93"/>
  <c r="E38" i="93"/>
  <c r="E37" i="93"/>
  <c r="E36" i="93"/>
  <c r="E35" i="93"/>
  <c r="E34" i="93"/>
  <c r="E33" i="93"/>
  <c r="E32" i="93"/>
  <c r="E31" i="93"/>
  <c r="E30" i="93"/>
  <c r="E29" i="93"/>
  <c r="E28" i="93"/>
  <c r="H27" i="93"/>
  <c r="H28" i="93" s="1"/>
  <c r="F27" i="93"/>
  <c r="H29" i="87"/>
  <c r="H30" i="87"/>
  <c r="H31" i="87"/>
  <c r="H32" i="87"/>
  <c r="H33" i="87"/>
  <c r="H34" i="87"/>
  <c r="H35" i="87"/>
  <c r="H36" i="87"/>
  <c r="H37" i="87"/>
  <c r="H38" i="87"/>
  <c r="E38" i="87"/>
  <c r="E37" i="87"/>
  <c r="E36" i="87"/>
  <c r="E35" i="87"/>
  <c r="E34" i="87"/>
  <c r="E33" i="87"/>
  <c r="E32" i="87"/>
  <c r="E31" i="87"/>
  <c r="E30" i="87"/>
  <c r="E29" i="87"/>
  <c r="E28" i="87"/>
  <c r="G27" i="87"/>
  <c r="I27" i="87" s="1"/>
  <c r="H27" i="87"/>
  <c r="H28" i="87" s="1"/>
  <c r="F27" i="87"/>
  <c r="E27" i="87"/>
  <c r="H29" i="80"/>
  <c r="H30" i="80"/>
  <c r="H31" i="80"/>
  <c r="H32" i="80"/>
  <c r="H33" i="80"/>
  <c r="H34" i="80"/>
  <c r="H35" i="80"/>
  <c r="H36" i="80"/>
  <c r="H37" i="80"/>
  <c r="H38" i="80"/>
  <c r="E38" i="80"/>
  <c r="E37" i="80"/>
  <c r="E36" i="80"/>
  <c r="E35" i="80"/>
  <c r="E34" i="80"/>
  <c r="E33" i="80"/>
  <c r="E32" i="80"/>
  <c r="E31" i="80"/>
  <c r="E30" i="80"/>
  <c r="E29" i="80"/>
  <c r="E28" i="80"/>
  <c r="G27" i="80"/>
  <c r="I27" i="80"/>
  <c r="H27" i="80"/>
  <c r="H28" i="80" s="1"/>
  <c r="F27" i="80"/>
  <c r="E27" i="80"/>
  <c r="C29" i="80"/>
  <c r="C28" i="87"/>
  <c r="C29" i="87"/>
  <c r="C30" i="87"/>
  <c r="C31" i="87"/>
  <c r="C32" i="87"/>
  <c r="C33" i="87"/>
  <c r="C34" i="87"/>
  <c r="C35" i="87"/>
  <c r="C36" i="87"/>
  <c r="C37" i="87"/>
  <c r="C38" i="87"/>
  <c r="C27" i="87"/>
  <c r="C38" i="80"/>
  <c r="C37" i="80"/>
  <c r="C36" i="80"/>
  <c r="C35" i="80"/>
  <c r="C34" i="80"/>
  <c r="C33" i="80"/>
  <c r="C32" i="80"/>
  <c r="C31" i="80"/>
  <c r="C30" i="80"/>
  <c r="C28" i="80"/>
  <c r="C27" i="80"/>
  <c r="C38" i="92"/>
  <c r="C37" i="92"/>
  <c r="C36" i="92"/>
  <c r="C35" i="92"/>
  <c r="C34" i="92"/>
  <c r="C33" i="92"/>
  <c r="C32" i="92"/>
  <c r="C31" i="92"/>
  <c r="C30" i="92"/>
  <c r="C29" i="92"/>
  <c r="C28" i="92"/>
  <c r="C27" i="92"/>
  <c r="C38" i="91"/>
  <c r="C37" i="91"/>
  <c r="C36" i="91"/>
  <c r="C35" i="91"/>
  <c r="C34" i="91"/>
  <c r="C33" i="91"/>
  <c r="C32" i="91"/>
  <c r="C31" i="91"/>
  <c r="C30" i="91"/>
  <c r="C29" i="91"/>
  <c r="C28" i="91"/>
  <c r="C38" i="93"/>
  <c r="C37" i="93"/>
  <c r="C36" i="93"/>
  <c r="C35" i="93"/>
  <c r="C34" i="93"/>
  <c r="C33" i="93"/>
  <c r="C32" i="93"/>
  <c r="C31" i="93"/>
  <c r="C30" i="93"/>
  <c r="C29" i="93"/>
  <c r="C28" i="93"/>
  <c r="C27" i="93"/>
  <c r="C27" i="91"/>
  <c r="F20" i="92"/>
  <c r="F19" i="92"/>
  <c r="C11" i="92"/>
  <c r="F20" i="91"/>
  <c r="F19" i="91"/>
  <c r="C11" i="91"/>
  <c r="F6" i="91"/>
  <c r="C11" i="90"/>
  <c r="F6" i="87"/>
  <c r="F6" i="80"/>
  <c r="I18" i="63"/>
  <c r="G18" i="63"/>
  <c r="D18" i="63"/>
  <c r="C8" i="63"/>
  <c r="C7" i="63"/>
  <c r="C6" i="63"/>
  <c r="D30" i="62"/>
  <c r="D31" i="62"/>
  <c r="H31" i="62"/>
  <c r="O13" i="5"/>
  <c r="AA13" i="5"/>
  <c r="AB13" i="5"/>
  <c r="K27" i="66"/>
  <c r="L25" i="66"/>
  <c r="L21" i="66"/>
  <c r="L27" i="66"/>
  <c r="M27" i="66"/>
  <c r="L17" i="66"/>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B21" i="5"/>
  <c r="I19" i="5"/>
  <c r="B19" i="5"/>
  <c r="I17" i="5"/>
  <c r="B17" i="5"/>
  <c r="F30" i="47"/>
  <c r="F31" i="47"/>
  <c r="D30" i="47"/>
  <c r="I30" i="47"/>
  <c r="S15" i="5"/>
  <c r="T15" i="5"/>
  <c r="X15" i="5"/>
  <c r="Z15" i="5"/>
  <c r="L15" i="5"/>
  <c r="M15" i="5"/>
  <c r="L13" i="5"/>
  <c r="M13" i="5"/>
  <c r="N13" i="5"/>
  <c r="N15" i="5"/>
  <c r="B15" i="5"/>
  <c r="B13" i="5"/>
  <c r="G30" i="47"/>
  <c r="A11" i="5"/>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G27" i="95" l="1"/>
  <c r="I27" i="95" s="1"/>
  <c r="H27" i="95"/>
  <c r="H28" i="95" s="1"/>
  <c r="E27"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<sst xmlns="http://schemas.openxmlformats.org/spreadsheetml/2006/main" count="1256" uniqueCount="399">
  <si>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</si>
  <si>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</si>
  <si>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</si>
  <si>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</si>
  <si>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</si>
  <si>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</si>
  <si>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</si>
  <si>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</si>
  <si>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</si>
  <si>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</si>
  <si>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</si>
  <si>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</si>
  <si>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</si>
  <si>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</si>
  <si>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</si>
  <si>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</si>
  <si>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</si>
  <si>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</si>
  <si>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</si>
  <si>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</si>
  <si>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</si>
  <si>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</si>
  <si>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</si>
  <si>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</si>
  <si>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</si>
  <si>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</si>
  <si>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</si>
  <si>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</si>
  <si>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</si>
  <si>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</si>
  <si>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</si>
  <si>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</si>
  <si>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</si>
  <si>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</si>
  <si>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</si>
  <si>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</si>
  <si>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</si>
  <si>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</si>
  <si>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</si>
  <si>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</si>
  <si>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</si>
  <si>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</si>
  <si>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</si>
  <si>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</si>
  <si>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</si>
  <si>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</si>
  <si>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</si>
  <si>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</si>
  <si>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</si>
  <si>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</si>
  <si>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</si>
  <si>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</si>
  <si>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</si>
  <si>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</si>
  <si>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</si>
  <si>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</si>
  <si>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</si>
  <si>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</si>
  <si>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</si>
  <si>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</si>
  <si>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</si>
  <si>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</si>
  <si>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</si>
  <si>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</si>
  <si>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</si>
  <si>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</si>
  <si>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</si>
  <si>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</si>
  <si>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</si>
  <si>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</si>
  <si>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</si>
  <si>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</si>
  <si>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</si>
  <si>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</si>
  <si>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</si>
  <si>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</si>
  <si>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</si>
  <si>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</si>
  <si>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</si>
  <si>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</si>
  <si>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</si>
  <si>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</si>
  <si>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</si>
  <si>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</si>
  <si>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</si>
  <si>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</si>
  <si>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</si>
  <si>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</si>
  <si>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</si>
  <si>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</si>
  <si>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</si>
  <si>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</si>
  <si>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</si>
  <si>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</si>
  <si>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</si>
  <si>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</si>
  <si>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</si>
  <si>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</si>
  <si>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</si>
  <si>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</si>
  <si>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</si>
  <si>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</si>
  <si>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</si>
  <si>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</si>
  <si>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</si>
  <si>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</si>
  <si>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</si>
  <si>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</si>
  <si>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</si>
  <si>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</si>
  <si>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</si>
  <si>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</si>
  <si>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</si>
  <si>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</si>
  <si>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</si>
  <si>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</si>
  <si>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</si>
  <si>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</si>
  <si>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</si>
  <si>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</si>
  <si>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</si>
  <si>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</si>
  <si>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</si>
  <si>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</si>
  <si>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</si>
  <si>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</si>
  <si>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</si>
  <si>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</si>
  <si>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</si>
  <si>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</si>
  <si>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</si>
  <si>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</si>
  <si>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</si>
  <si>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</si>
  <si>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</si>
  <si>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</si>
  <si>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</si>
  <si>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</si>
  <si>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</si>
  <si>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</si>
  <si>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</si>
  <si>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</si>
  <si>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</si>
  <si>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</si>
  <si>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</si>
  <si>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</si>
  <si>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</si>
  <si>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</si>
  <si>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</si>
  <si>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</si>
  <si>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</si>
  <si>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</si>
  <si>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</si>
  <si>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</si>
  <si>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</si>
  <si>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</si>
  <si>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</si>
  <si>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</si>
  <si>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</si>
  <si>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</si>
  <si>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</si>
  <si>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</si>
  <si>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</si>
  <si>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</si>
  <si>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</si>
  <si>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</si>
  <si>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</si>
  <si>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</si>
  <si>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</si>
  <si>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</si>
  <si>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</si>
  <si>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</si>
  <si>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</si>
  <si>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</si>
  <si>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</si>
  <si>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</si>
  <si>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</si>
  <si>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</si>
  <si>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</si>
  <si>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</si>
  <si>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</si>
  <si>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</si>
  <si>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</si>
  <si>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</si>
  <si>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</si>
  <si>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</si>
  <si>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</si>
  <si>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</si>
  <si>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</si>
  <si>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</si>
  <si>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</si>
  <si>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</si>
  <si>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</si>
  <si>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</si>
  <si>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</si>
  <si>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</si>
  <si>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</si>
  <si>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</si>
  <si>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</si>
  <si>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</si>
  <si>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</si>
  <si>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</si>
  <si>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</si>
  <si>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</si>
  <si>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</si>
  <si>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</si>
  <si>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</si>
  <si>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</si>
  <si>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</si>
  <si>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</si>
  <si>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</si>
  <si>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</si>
  <si>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</si>
  <si>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</si>
  <si>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</si>
  <si>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</si>
  <si>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</si>
  <si>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</si>
  <si>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</si>
  <si>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</si>
  <si>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</si>
  <si>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</si>
  <si>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</si>
  <si>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</si>
  <si>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</si>
  <si>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</si>
  <si>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</si>
  <si>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</si>
  <si>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</si>
  <si>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</si>
  <si>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</si>
  <si>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</si>
  <si>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</si>
  <si>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</si>
  <si>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</si>
  <si>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</si>
  <si>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</si>
  <si>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</si>
  <si>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</si>
  <si>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</si>
  <si>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</si>
  <si>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</si>
  <si>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</si>
  <si>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</si>
  <si>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</si>
  <si>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</si>
  <si>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</si>
  <si>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</si>
  <si>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</si>
  <si>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</si>
  <si>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</si>
  <si>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</si>
  <si>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</si>
  <si>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</si>
  <si>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</si>
  <si>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</si>
  <si>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</si>
  <si>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</si>
  <si>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</si>
  <si>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</si>
  <si>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</si>
  <si>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</si>
  <si>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</si>
  <si>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</si>
  <si>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</si>
  <si>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</si>
  <si>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</si>
  <si>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</si>
  <si>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</si>
  <si>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</si>
  <si>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</si>
  <si>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</si>
  <si>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</si>
  <si>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</si>
  <si>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</si>
  <si>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</si>
  <si>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</si>
  <si>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</si>
  <si>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</si>
  <si>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</si>
  <si>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</si>
  <si>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</si>
  <si>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</si>
  <si>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</si>
  <si>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</si>
  <si>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</si>
  <si>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</si>
  <si>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</si>
  <si>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</si>
  <si>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</si>
  <si>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</si>
  <si>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</si>
  <si>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</si>
  <si>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</si>
  <si>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</si>
  <si>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</si>
  <si>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</si>
  <si>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</si>
  <si>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Subdireccion de Gestion Corporativa</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</si>
  <si>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</si>
  <si>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</si>
  <si>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</si>
  <si>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</si>
  <si>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</si>
  <si>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</si>
  <si>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</si>
  <si>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 xml:space="preserve">Esta conformado por las actividades  realizadas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</si>
  <si>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</si>
  <si>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Planes De Acción O Gestión Con Seguimiento</t>
  </si>
  <si>
    <t>Medir el desarrollo operativo de la Oficina Asesora  Juridica  y  el área  contractual  conforme a los requerimientos internos  y externos allegados a cada área para la atención  oportuna de los mismos.</t>
  </si>
  <si>
    <t>Plan de Accion</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</si>
  <si>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</si>
  <si>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</si>
  <si>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</si>
  <si>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</si>
  <si>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</si>
  <si>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</si>
  <si>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</si>
  <si>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</si>
  <si>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</si>
  <si>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</si>
  <si>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</si>
  <si>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</si>
  <si>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</si>
  <si>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</si>
  <si>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</si>
  <si>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</si>
  <si>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</si>
  <si>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Medir el porcentaje del implementacion de los procesos transversales del Instituto, tales como financieros, administrativos, entre otros.</t>
  </si>
  <si>
    <t>Enero</t>
  </si>
  <si>
    <t>JIMMY ALEJANDRO ESCOBAR CASTRO</t>
  </si>
  <si>
    <t>SUBDIRECTOR DE GESTION CORPORATIVA</t>
  </si>
  <si>
    <t>Subdirección de Gestión Corporativa</t>
  </si>
  <si>
    <t>Oficina Asesora Juridica  y SGC - Gestión Contractual</t>
  </si>
  <si>
    <t>Acciones de fortalecimiento realizadas</t>
  </si>
  <si>
    <t xml:space="preserve">El cumplimiento de esta meta genera un beneficio a la ciudad en el sentido de la prestación de los servicios ofrecidos a la ciudadania y   poder fortalecer la imagen del Instituto y su articulación con el sector y la comunidad, ademàs   la entidad puede  tener la plena confianza que los procesos  estan siendo sistematizados para  cualquier requerimiento, y se  esta  cumplinedo con los organismos de control.		</t>
  </si>
  <si>
    <t>LUZ JOHANA CASTILLO - CONTRATISTA SGC</t>
  </si>
  <si>
    <t>Los beneficios que tendria la entidad en cuanto a las tareas plantedas para este primer mes es contar con una planificación estrategica para cumplir la misión de la entidad, desde el apoyo permante de los sistemas de información para facilitar la gestión y el soporte a las herramientas tecnologicas del IDPYBA.</t>
  </si>
  <si>
    <t xml:space="preserve">Bogotá es referente mundial en la cuidado y la proteccion  de la fauna doméstica y silvestre. Gracias a la gestión realizada por la oficina de comunicaciones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de esta manera se  mejora  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t>
  </si>
  <si>
    <t xml:space="preserve">GRUPO DE COMUNICACIONES </t>
  </si>
  <si>
    <t xml:space="preserve">YOHANNA VILLEGAS CARO </t>
  </si>
  <si>
    <t xml:space="preserve">Medir el fortalecimiento de los canales de Comunicación  del Instituto  a través de actividades y tareas como implementación de campañas de comunicación  internas y externas, diseño de piezas gráficas, porducción de videos, cubrimiento y divulgación de actividades del IDPYBA, gestión de Redes Sociales y Página Web, y gestión y relacionamiento con los medios de comunicación </t>
  </si>
  <si>
    <t>Actividades ejecutadas para el fortalecimiento de los canales de comunicación / Actividades programadas para el fortalecimiento de los canales de comunicación</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</si>
  <si>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elaborarción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propisiciones; acompañamiento y seguimiento en la formulación, actualización y ejecución entre otras. Para el Aspecto Disciplinario se planteó una actividad  donde  se registar el desarrollo de cada proceso  respetando el debido proceso y la reserva  que conlleva.</t>
  </si>
  <si>
    <t>Cada requerimiento allegado a la Oficina Asesora Juridíca ha sido resuelto dentro de los terminos legales establecidos, dando cumplimiento a nuestras funciones como oficina asesora.
Cada  tarea asignada a  gestión contractual desde las áreas misionales y administrativas del Institudo y  desde  los  ciudadanos u organismos  externos  han sido desarrolladas en los terminos estipulados, con el fin de garantizar el servicio.</t>
  </si>
  <si>
    <t>CHRISTIAN YERED ANGULO - CONTRATISTA</t>
  </si>
  <si>
    <t>Oficina Asesora Juridica</t>
  </si>
  <si>
    <t>Vanessa Páez - Profesional Universitaria Jurídica</t>
  </si>
  <si>
    <t>Yuly Patricia Castro Beltrán - Jefe Oficina Asesora Jurídica</t>
  </si>
  <si>
    <t>1 de enero de 2021</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</si>
  <si>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</si>
  <si>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</si>
  <si>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</si>
  <si>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</si>
  <si>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</si>
  <si>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</si>
  <si>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</si>
  <si>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</si>
  <si>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</si>
  <si>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</si>
  <si>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</si>
  <si>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</si>
  <si>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</si>
  <si>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</si>
  <si>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Henry Rincón - Eric Restrepo - Leidy Rodriguez - Nancy Montero - Andrés Guerrero</t>
  </si>
  <si>
    <t>Jefe Oficina Asesora de Planeación</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</si>
  <si>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</si>
  <si>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</si>
  <si>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Actividades ejecutadas para la implementacion MIPG/Actividades programadas para para la implementacion MIPG</t>
  </si>
  <si>
    <t>Actividades ejecutadas para la implementacion MIPG</t>
  </si>
  <si>
    <t>Actividades programadas para para la implementacion MIPG</t>
  </si>
  <si>
    <t xml:space="preserve">Actividades ejecutadas descritas en el Plan de Acción desarrolladas en un periodo de tiempo determinado </t>
  </si>
  <si>
    <t>Actividades Programadas para dar cumplimiento al  Plan de Accion para el cumplimiento de la Implementación del Sistema de Gestion de Calidad</t>
  </si>
  <si>
    <t>Equipo MIPG-Oficina Asesora de Planeación</t>
  </si>
  <si>
    <t>Dentro de las acciones que desarrolla la Oficina Asesora Jurídica se está cumpliendo con el objeto, funciones y misionalidad establecidas en las disposiciones que rigen la entidad, dirigidas al bienestar y protección de la fauna silvestre y doméstica que habita en el Distrito Capital.  Del mismo modo, se garantiza  que  Bogotá  tiene  servicios integrales para la atención animal y que cuenta  con una entidad que promueve  la transparencia en todos los procesos de contratación.</t>
  </si>
  <si>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</si>
  <si>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</si>
  <si>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</si>
  <si>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</si>
  <si>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</si>
  <si>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</si>
  <si>
    <t xml:space="preserve">AVANCES : Desde la Subdirección de Gestión Corporativa se realizaron las actividades relacionadas  con la FASE 2 del proyecto de rediseño institucional, se realizo propuesta de estructura de acuerdo a los analisis internos realizados, proyección de costos  de la acuerdo a la consolidación de cargas y ajuste al Documento Técnico.  Se presentó propuestas de modelos de operación a los gerentes de proyectos.
LOGROS: Se consolido el levantamiento de cargas laborales y de acuerdo a los escenarios presentados se realizo la proyección de costos de planta. </t>
  </si>
  <si>
    <t xml:space="preserve">Los retrasos que se pudieron haber presentado se relacionan con el cambio de Directivo en la Subdirección de Fauna, lo cual impide  realizar la presentación de la propueta de modelo de operación de acuerdo con las propuestas de estructura. </t>
  </si>
  <si>
    <t xml:space="preserve">24 campañas y acciones de comunicación externa 
12 campañas y acciones de comunicación interna
Cubrimiento de 9 actividades del IDPYBA
46 piezas gráficas diseñadas 
12 videos producidos y editados 
8 Comunicados y notas de prensa redactadas
36 publicaciones en diversos medios de comunicación 
PUBLICACIONES EN REDES: Facebook: 126, Twitter: 248, Instagram 23 Total: 397
7 Publicaciones en la sección de noticias de la Página Web 
ALCANCE EN REDES SOCIALES:Total: 1.620.000
INTERACCION EN REDES SOCIALES: 136.127
RESPUESTAS A MENSAJES EN REDES SOCIALES: 514
Se logra comunicar acciones adelantadas por las diversas áreas misionales del IDPYBA a través de diversos porductos, contenidos y piezas de comunicación, seguimos creciendo en seguidores y alcance en redes sociales. </t>
  </si>
  <si>
    <t>En el mes de febrero de 2021 se realizó los reportes en SPI, SEGPLAN, SPI, POA y Hojas de vida de indicadores correspondientes a Enero de 2021, se atendieron solicitudes de ajustes al Plan de Acción. Se brindó asistencia técnica en el proceso de formulación de los productos en corresponsabilidad del IDPYBA en la Política Pública LGBTI , los cuales se trabajaron de forma sectorial, siguiendo los lineamientos de la Dirección de Diversidad Sexual de la SDP para el diligenciamiento de la matriz de Plan de Acción y Se apoyó el proceso de inclusión de enfoque diferencial para el producto: Programa de educación para los distintos sectores de la población en temas de protección y bienestar animal, mediante el acompañamiento al proceso de formulación e implementación de acciones afirmativas según lo determina el Artiículo 66 del Plan Distrital de Desarrollo.</t>
  </si>
  <si>
    <t>En el mes de febrero de 2021 se realizó los reportes en SPI, SEGPLAN, SPI, POA y Hojas de vida de indicadores correspondientes a Enero de 2021, se atendieron solicitudes de ajustes al Plan de Acción.  Se brindó asistencia técnica en el proceso de formulación de los productos en corresponsabilidad del IDPYBA en la Política Pública LGBTI , los cuales se trabajaron de forma sectorial, siguiendo los lineamientos de la Dirección de Diversidad Sexual de la SDP para el diligenciamiento de la matriz de Plan de Acción.
Se apoyó el proceso de inclusión de enfoque diferencial para el producto: Programa de educación para los distintos sectores de la población en temas de protección y bienestar animal, mediante el acompañamiento al proceso de formulación e implementación de acciones afirmativas según lo determina el Artiículo 66 del Plan Distrital de Desarrollo.</t>
  </si>
  <si>
    <t>Desarrollar herramientas técnicas, pertinentes, dinámicas y confiables, a través del manejo y gestión de conocimiento, que apoye una toma de decisiones y una rendición cuentas transparente.Integrar las herramientas de planeación, gestión y control, mediante un enfoque basado en el modelo integrado de planeación y gestión MIPG.</t>
  </si>
  <si>
    <r>
      <t>En el mes de enero se realizaron los siguientes avances: Formulación de Plan Anticorrupción y Atención al Ciudadano de la vigencia 2021, Formulación de adminisitracion de Riesgos de Gestión por proceso 2021 y  su respectiva publicación en la pagina web del Instituto, Actas de reunión de mesas de trabajo con los lideres de proceso para elaborar, actualizar y/o eliminar documentos, se actualizó el listado maestro de documentos. No llegaron solicitudes para la publicacion en la plataforma Colibri, se realizan mesas de trabajo para la actualización de la base de datos del  Plan Estadístico Distrital y se realizo seguimiento a las activiades del Plan de Mejoramiento de la Oficina Asesora de Planeación.
En el mes de febrero no se realizó la publicación del consolidado del furag 2020 que se tenia planeado para el mes,  aprobaron 4 Actas de las cuales se elimino la No.9 con un total de 8 documentos adoptados los cuales se encuentran publicados en el Listado Maestro de Documentos, No llegaron solicitudes para la publicacion en la plataforma Colibri,</t>
    </r>
    <r>
      <rPr>
        <sz val="9"/>
        <color rgb="FFFF0000"/>
        <rFont val="Arial"/>
        <family val="2"/>
      </rPr>
      <t xml:space="preserve"> </t>
    </r>
    <r>
      <rPr>
        <sz val="9"/>
        <rFont val="Arial"/>
        <family val="2"/>
      </rPr>
      <t>no se realizaron mesas de trabajo para la actualización de la base de datos del  Plan Estadístico Distrital</t>
    </r>
    <r>
      <rPr>
        <sz val="9"/>
        <color theme="1"/>
        <rFont val="Arial"/>
        <family val="2"/>
      </rPr>
      <t xml:space="preserve"> y no se tenia programada la realizacion de seguimiento a las activiades del Plan de Mejoramiento de la Oficina Asesora de Planeación. Se da cumplimiento a las actividades planeadas para el mes de febrero de 2021 dentro de las cuales se realizó informe FURAG Sector Ambiente que fue enviado al Distrital de Desarrollo Institucional mipgdistrito@alcaldiabogota.gov.co.</t>
    </r>
  </si>
  <si>
    <t xml:space="preserve">En el mes de enero se realizaron las siguientes actividades: 
* Formulación de Plan Anticorrupción y Atención al Ciudadano de la vigencia 2021 y Publicacion en la pagina web
* Formulación de mapas de Riesgos de Gestión por proceso 2021 y publicacioón en la pagina web  
* Publicación del seguimiento cuatrimestral en la pagina web del Instituto de riesgos de gestion por procesos y Plan Anticorrupcion y de atencion al ciudadano del 2020
* Actas de reunión de mesas de trabajo con los lideres de proceso para elaborar, actualizar y/o eiminar documentos
* Se actualizó el listado maestro de documentos. 
En el mes de Febrero se realizaron las siguientes actividades:
* Actas de reunión de mesas de trabajo con los lideres de proceso para elaborar, actualizar y/o eiminar documentos
* Se actualizó el listado maestro de documentos.
* Informe FURAG Sector Ambiente que fue enviado al Distrital de Desarrollo Institucional mipgdistrito@alcaldiabogota.gov.co.
</t>
  </si>
  <si>
    <t>John Sebastián Moreno Sabogal</t>
  </si>
  <si>
    <t xml:space="preserve">*La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
</t>
  </si>
  <si>
    <t xml:space="preserve">
Desde la Oficina Asesora Jurídica  no se presentó ningún retraso para el cumplimiento de la meta, por consiguiente, no se plantearon soluciones a los mismos; desde la  SGC - contractual en el mes de Febrero se consolido el grupo de Gestion Contractual, para tramites de los nuevos procesos de la Gestion que a fin de mes llego a un ritmo adecuado de trabajo</t>
  </si>
  <si>
    <r>
      <rPr>
        <b/>
        <sz val="9"/>
        <color theme="1"/>
        <rFont val="Arial"/>
        <family val="2"/>
      </rPr>
      <t>AVANCES OAJ:</t>
    </r>
    <r>
      <rPr>
        <sz val="9"/>
        <color theme="1"/>
        <rFont val="Arial"/>
        <family val="2"/>
      </rPr>
      <t xml:space="preserve"> La Oficina Asesora Jurídica a través de los 4 grupos que la conforman: Grupo de Defensa Judicial, Grupo de Asuntos Normativos, Grupo de Asuntos Penales y Grupo de Asuntos Administrativos, atendio la totalidad de los 124 requerimientos asignados en el mes de febrero de 2021.</t>
    </r>
    <r>
      <rPr>
        <b/>
        <sz val="9"/>
        <color theme="1"/>
        <rFont val="Arial"/>
        <family val="2"/>
      </rPr>
      <t xml:space="preserve"> 
</t>
    </r>
    <r>
      <rPr>
        <sz val="9"/>
        <color theme="1"/>
        <rFont val="Arial"/>
        <family val="2"/>
      </rPr>
      <t xml:space="preserve">• Se contestaron dentro de la oportunidad legal todas las acciones de tutela presentadas durante este período.  Todos los requerimientos judiciales fueron atendidos dentro de los términos legales.
• Se adelantaron todas las actividades tendientes a dar cumplimiento al fallo de la Acción Popular No 2017-00162.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aprobarón la totalidad de las pólizas de los contratos, los cuales se evidencian a través de la plataforma Secop II. 
</t>
    </r>
    <r>
      <rPr>
        <b/>
        <sz val="9"/>
        <color theme="1"/>
        <rFont val="Arial"/>
        <family val="2"/>
      </rPr>
      <t xml:space="preserve">LOGROS OAJ:
</t>
    </r>
    <r>
      <rPr>
        <sz val="9"/>
        <color theme="1"/>
        <rFont val="Arial"/>
        <family val="2"/>
      </rPr>
      <t xml:space="preserve"> • El logro más importante durante este período consiste en que no se fallaron en contra del Instituto ninguna de las tutelas presentadas ante las autoridades judiciales, por el contrario, fueron falladas a favor y en ninguna se comprometió la responsabilidad de la entidad, ello significa un éxito procesal en el 100% de las acciones de tutela del período.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t>
    </r>
    <r>
      <rPr>
        <b/>
        <sz val="9"/>
        <color theme="1"/>
        <rFont val="Arial"/>
        <family val="2"/>
      </rPr>
      <t xml:space="preserve">CONTRACTUAL: </t>
    </r>
    <r>
      <rPr>
        <sz val="9"/>
        <color theme="1"/>
        <rFont val="Arial"/>
        <family val="2"/>
      </rPr>
      <t>Para el mes de febrero se dio tramite a:
- Certificacion de Contratos requeridos: 59 Certificaciones
-  Derechos de Petición, y Requerimientos : 3 Respuestas en total.
Se realizo la prsentacion de Informes a entes de Control que se requieren mensualmente como los son: SIVICOF y SIDEAP, en los tiempos estipuldos. Por cierre de año se envian segun requerimientos Informe de Veeduria
Cada contrato se encuentra relacionado en la base  de datos  indicando  objeto, contratista, número de compromiso, fecha de suscripción  entro otros, todo  esto  conforme a lo publicado en SECOP II   lo cual se  puede evidenciar  con la nomenclatura  reportada  en la base y  en SECOP II  también encontrarán la solicitudes allegadas para la realización de cada contrato. En la plataforma SECOP II  en el apartado de cada contrato modificación contractual podran encontrar la adición con su respectiva solicitud y  para el caso de las terminaciones anticipadas en el apartado ejecución del contrato  en cada minuta de terminación se referencia el radicado de solicitud de esta novedad contractual.
Durante este mes de febrero se proyectaron 1 Autos inhibitorio 004-2021, 1 Auto Apertura de Indagacion Preliminar 005-2021 - Durante este mes de febrero se proyectaron 3 Respuestas a peticiones hechas por anonimos.
Se brindo apoyo verbal en materia disciplinaria y de respuestas a peticionarios y se elaboro un Flash disciplinario como labor preventiva del procedimiento disciplinario y su indicador fisico. Se actualizo la base de procesos disciplinarios interna, para anotar los activos y demas actuaciones surtidas y los dos nuevos procesos de este mes.
Estos gozan de reserva en las acciones disciplinarias que se adelantan, estos expedientes reposan fisicamente en custodia en la Subdireccion de Gestion Corporativa, grupo disciplinario debidamente encarpetado, foliado en fisico y bajo custodia, segun Ley 734 de 202 Codigo Unico disciplinario Articulo 95.</t>
    </r>
  </si>
  <si>
    <r>
      <rPr>
        <b/>
        <sz val="10"/>
        <color theme="1"/>
        <rFont val="Arial"/>
        <family val="2"/>
      </rPr>
      <t>SERVICIO AL CIUDADANO:</t>
    </r>
    <r>
      <rPr>
        <sz val="10"/>
        <color theme="1"/>
        <rFont val="Arial"/>
        <family val="2"/>
      </rPr>
      <t xml:space="preserve"> En el mes de febrero se recibieron 869 derechos de petición a través de los canales habilitados por el Instituto, de los cuales 15 se cerraron fuera de termino y 9 se encuentran vencidos sin respuesta. En el mes de febrero se realizó cambio de Subdirector de Atención a la Fauna lo que conllevo al aumento de peticiones vencidas, sin embrago las diferentes dependencias se reunieron para realizar un plan de mejora interno que permita mejorar la oportunidad de las respuestas y cumplir con la normatividad vigente.En promedio el 80% de los ciudadanbos que respondieron la encuenta se encuentran satisfechos con la atención recibida por parte del IDPYBA,  El 75% de los ciudadanos se encutras satisfechos en relación a la información recibida, las personas que manifiestan inconformidad hacen alusión a temas de oportunidad en las respuestas y atención inmediata a los animales reportados por maltrato animal; El 87% de los ciudadanos se encuentrans satisfechos con  la amabilidad recibida por los asesores; de los ciudadanos que han utilizado alguno de los servicios del IDPYBA, el 67% se encuentran satisfechos.
</t>
    </r>
    <r>
      <rPr>
        <b/>
        <sz val="10"/>
        <color theme="1"/>
        <rFont val="Arial"/>
        <family val="2"/>
      </rPr>
      <t xml:space="preserve">GESTIÓN AMBIENTAL: </t>
    </r>
    <r>
      <rPr>
        <sz val="10"/>
        <color theme="1"/>
        <rFont val="Arial"/>
        <family val="2"/>
      </rPr>
      <t xml:space="preserve">Se logra como resultado el cargue de informes de seguimiento al Plan de Acción Ambiental Cuatrienal ante la Secretaria Distrital de Ambiente, se transmite el informe del PACA- Contractual- Sivicof, se continua con las inspecciones mensuales, verificando las condiciones sanitarias y locativas de almacenamiento de los residuos, se logra la implementación y el funcionamiento de un sistema para captura de aguas lluvias en la Unidad de Cuidado Animal  para lavado de 4 caniles, Se continua con la gestión integral de Residuos (reciclables, peligrosos, infecciosos y administrativos) en las sedes del Instituto, se mejora las condiciones del entorno en la Unidad de Cuidado Animal con actividades de PODA y control de plagas.
</t>
    </r>
    <r>
      <rPr>
        <b/>
        <sz val="10"/>
        <color theme="1"/>
        <rFont val="Arial"/>
        <family val="2"/>
      </rPr>
      <t xml:space="preserve">GESTIÓN DOCUMENTAL: </t>
    </r>
    <r>
      <rPr>
        <sz val="10"/>
        <color theme="1"/>
        <rFont val="Arial"/>
        <family val="2"/>
      </rPr>
      <t xml:space="preserve">Desde Gestión Documental se presento el avance del proceso de actualización de la Tabla de Retención Documental para revisión del Archivo Distrital.Se han efectuado las capacitaciones referentes al tema de inventarios documentales, teniendo en cuenta que todas las dependencias deben tener este instrumentos de control que es indispensable para proceder a entregar las transferencias primarias documentales. Se ha prestado el apoyo requerido por las áreas para la digitalización de la información y su posterior cargue al repositorio de AZ-Digital.
</t>
    </r>
    <r>
      <rPr>
        <b/>
        <sz val="10"/>
        <color theme="1"/>
        <rFont val="Arial"/>
        <family val="2"/>
      </rPr>
      <t>RECURSOS FISICOS:</t>
    </r>
    <r>
      <rPr>
        <sz val="10"/>
        <color theme="1"/>
        <rFont val="Arial"/>
        <family val="2"/>
      </rPr>
      <t xml:space="preserve"> 1- Durante el mes de febrero desde almacen se dio respuesta a cada una de las solciitudes de entrega, traslado y/o reintegro de bienes, con el fin de mantener actualizado el inventario, se registra cada moviento en el  aplicativo de inventarios. 2- Se realizo el acompañamietno a los proveedores, con el fin de gestionar los pagos correspondientes, de igual manera se gestiono el pago de servicios publicos de la sede admisnitrativa. 3-se realizo el acompañamiento a los proveedores con el fin de gestionar los correspondientes pagos y normal ejecucion de los respectivos contratos se realizo seguimiento al pago de servicios publicos.
</t>
    </r>
    <r>
      <rPr>
        <b/>
        <sz val="10"/>
        <color theme="1"/>
        <rFont val="Arial"/>
        <family val="2"/>
      </rPr>
      <t xml:space="preserve">TALENTO HUMANO: </t>
    </r>
    <r>
      <rPr>
        <sz val="10"/>
        <color theme="1"/>
        <rFont val="Arial"/>
        <family val="2"/>
      </rPr>
      <t>Se programaron 10 capacitaciones para el mes de febrero, se ejecuto el 20% correspondiente a 2 capacitaciónes; Se programaron 7 actividades en el mes de febrero, se realizaron 4 obteniendo un porcentaje del 57% sobre el total de las actividades programadas; De las activiades programadas en el Plan Anual de Trabajo en  SST, para el mes de febrero del 2021, se realizaron 3 logrando un porcentaje de ejecución del 100%; Se programaron 7 actividades para el mes de febrero, de las cuales se ejecutaron 7.</t>
    </r>
  </si>
  <si>
    <r>
      <t xml:space="preserve">SERVICIO AL CIUDADANO: </t>
    </r>
    <r>
      <rPr>
        <sz val="10"/>
        <color theme="1"/>
        <rFont val="Arial"/>
        <family val="2"/>
      </rPr>
      <t>No se presenta ningún retraso</t>
    </r>
    <r>
      <rPr>
        <b/>
        <sz val="10"/>
        <color theme="1"/>
        <rFont val="Arial"/>
        <family val="2"/>
      </rPr>
      <t xml:space="preserve">
GESTIÓN AMBIENTAL:</t>
    </r>
    <r>
      <rPr>
        <sz val="10"/>
        <color theme="1"/>
        <rFont val="Arial"/>
        <family val="2"/>
      </rPr>
      <t xml:space="preserve"> No se presenta ningún retraso</t>
    </r>
    <r>
      <rPr>
        <b/>
        <sz val="10"/>
        <color theme="1"/>
        <rFont val="Arial"/>
        <family val="2"/>
      </rPr>
      <t xml:space="preserve">.
GESTIÓN DOCUMENTAL: </t>
    </r>
    <r>
      <rPr>
        <sz val="10"/>
        <color theme="1"/>
        <rFont val="Arial"/>
        <family val="2"/>
      </rPr>
      <t xml:space="preserve"> Se ha generado retraso en la elaboración de instrumentos archivísticos debido a que para el proceso de actualización de Tabla de Retención Documental se debió solicitar el apoyo de varias áreas y al Archivo Distrital para la conformación del equipo interdisciplinar solicitado por la normatividad. Sin embargo, una vez conformado el equipo se normalizará el cumplimiento de los objetivos.
</t>
    </r>
    <r>
      <rPr>
        <b/>
        <sz val="10"/>
        <color theme="1"/>
        <rFont val="Arial"/>
        <family val="2"/>
      </rPr>
      <t xml:space="preserve">RECURSOS FISICOS: </t>
    </r>
    <r>
      <rPr>
        <sz val="10"/>
        <color theme="1"/>
        <rFont val="Arial"/>
        <family val="2"/>
      </rPr>
      <t>Se genero retraso en el pago al proveedor Terpel, debido a la estructuracion del cronograma de facturacion establecido por el contratista, sin embargo se logro generar el respectivo pago</t>
    </r>
  </si>
  <si>
    <r>
      <rPr>
        <b/>
        <sz val="9"/>
        <rFont val="Arial"/>
        <family val="2"/>
      </rPr>
      <t>GESTIÓN AMBIENTAL:</t>
    </r>
    <r>
      <rPr>
        <sz val="9"/>
        <rFont val="Arial"/>
        <family val="2"/>
      </rPr>
      <t xml:space="preserve"> Se da cumplimiento a la normativa ambiental vigente, se minimiza el impacto ambiental y se optimizan el recursos hídrico fomentando la austeridad del gasto.
</t>
    </r>
    <r>
      <rPr>
        <b/>
        <sz val="9"/>
        <rFont val="Arial"/>
        <family val="2"/>
      </rPr>
      <t xml:space="preserve">GESTIÓN DOCUMENTAL: </t>
    </r>
    <r>
      <rPr>
        <sz val="9"/>
        <rFont val="Arial"/>
        <family val="2"/>
      </rPr>
      <t xml:space="preserve">La gestión documental garantiza para la entidad y para la copmunidad un acceso a la información pública y una conservación historica del conocimiento generado, por medio de La Tabla de Retención Documental , la elaboración de Inventarios documentales, el modelo de requisitos para la gestión de documentos electrónicos de archivo y el software de gestión documental.
</t>
    </r>
    <r>
      <rPr>
        <b/>
        <sz val="9"/>
        <rFont val="Arial"/>
        <family val="2"/>
      </rPr>
      <t xml:space="preserve">RECURSOS FISICOS: </t>
    </r>
    <r>
      <rPr>
        <sz val="9"/>
        <rFont val="Arial"/>
        <family val="2"/>
      </rPr>
      <t>Con la gestios del equipo de recursos fisicos se garantiza la correcta prestacion de todos los servicios para el normal funcionamiento del Instituto. Se mantiene actualizado el inventario, de esta manera  se da transparencia a la gestion del almacen.</t>
    </r>
  </si>
  <si>
    <t xml:space="preserve"> En relación a las acciones al PETI, se han venido adelantando mesas de trabajo con el área jurídica y comunicaciones con el fin de establecer una estrategia de atención juridica enfocada a la virtualidad con el apoyo de convenios universitarios mas especificamente aconsultorio juridico virtual, se tiene proyectado presentar el boceto para la segunda semana del mes de marzo de 2021.
En relación a los proyectos presentados en el PETI se tiene la entrega del proceso de seguridad, backups y fase uno de ipv6, ademas de validar los sistemas de información actuales,</t>
  </si>
  <si>
    <t>Fredy Ariza, Ivan Malaver, Mauricio Lopez, Liz Tabares, Manuel Rentería, Natalina Roncancio</t>
  </si>
  <si>
    <t>los retrasos presentados en la validacion de algunos sistemas de informacion se debio a un proceso de actualización conjunta con el proveedor ETB en cuanto a los accesos a los servidores lo que ocasiono demoras en la verificacion de sipyba y demas 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</si>
</sst>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_(* #,##0.0_);_(* \(#,##0.0\);_(* &quot;-&quot;??_);_(@_)"/>
    <numFmt numFmtId="177" formatCode="0.0"/>
    <numFmt numFmtId="178" formatCode="0.000"/>
    <numFmt numFmtId="179" formatCode="_(* #,##0.000_);_(* \(#,##0.000\);_(* &quot;-&quot;??_);_(@_)"/>
    <numFmt numFmtId="180" formatCode="_(* #,##0.0000_);_(* \(#,##0.0000\);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sz val="12"/>
      <color theme="4"/>
      <name val="Arial"/>
      <family val="2"/>
    </font>
    <font>
      <b/>
      <sz val="12"/>
      <color theme="3"/>
      <name val="Arial"/>
      <family val="2"/>
    </font>
    <font>
      <sz val="9"/>
      <color indexed="81"/>
      <name val="Tahoma"/>
      <family val="2"/>
    </font>
    <font>
      <b/>
      <sz val="9"/>
      <color indexed="81"/>
      <name val="Tahoma"/>
      <family val="2"/>
    </font>
    <font>
      <sz val="9"/>
      <color rgb="FFFF0000"/>
      <name val="Arial"/>
      <family val="2"/>
    </font>
    <font>
      <sz val="11"/>
      <color theme="4"/>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58">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8" fillId="61" borderId="71" xfId="1371" applyFont="1" applyFill="1" applyBorder="1" applyAlignment="1" applyProtection="1">
      <alignment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73" xfId="1371" applyFont="1" applyFill="1" applyBorder="1" applyAlignment="1" applyProtection="1">
      <alignment horizontal="center" vertical="center" wrapText="1"/>
      <protection hidden="1"/>
    </xf>
    <xf numFmtId="0" fontId="8" fillId="61" borderId="71" xfId="0" applyFont="1" applyFill="1" applyBorder="1" applyAlignment="1" applyProtection="1">
      <alignment horizontal="center" vertical="center" wrapText="1"/>
      <protection hidden="1"/>
    </xf>
    <xf numFmtId="0" fontId="8" fillId="61" borderId="72" xfId="1371" applyFont="1" applyFill="1" applyBorder="1" applyAlignment="1" applyProtection="1">
      <alignment horizontal="center" vertical="center" wrapText="1"/>
      <protection hidden="1"/>
    </xf>
    <xf numFmtId="0" fontId="8" fillId="61" borderId="73" xfId="1371" applyFont="1" applyFill="1" applyBorder="1" applyAlignment="1" applyProtection="1">
      <alignment horizontal="center" vertical="center"/>
      <protection hidden="1"/>
    </xf>
    <xf numFmtId="167" fontId="78" fillId="0" borderId="71" xfId="1250"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167" fontId="78" fillId="24" borderId="71" xfId="1250" applyFont="1" applyFill="1" applyBorder="1" applyAlignment="1" applyProtection="1">
      <alignment horizontal="center" vertical="center"/>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14" fontId="9" fillId="0" borderId="71" xfId="1371" applyNumberFormat="1" applyFont="1" applyBorder="1" applyAlignment="1" applyProtection="1">
      <alignment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178" fontId="54" fillId="0" borderId="71" xfId="0" applyNumberFormat="1" applyFont="1" applyBorder="1" applyProtection="1">
      <protection hidden="1"/>
    </xf>
    <xf numFmtId="0" fontId="8" fillId="61" borderId="65"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76" fillId="0" borderId="0" xfId="1327" applyFont="1" applyAlignment="1" applyProtection="1">
      <alignment vertical="center"/>
      <protection hidden="1"/>
    </xf>
    <xf numFmtId="179" fontId="70" fillId="50" borderId="71" xfId="1250" applyNumberFormat="1" applyFont="1" applyFill="1" applyBorder="1" applyAlignment="1" applyProtection="1">
      <alignment horizontal="center" vertical="center"/>
      <protection hidden="1"/>
    </xf>
    <xf numFmtId="179" fontId="70" fillId="0" borderId="71" xfId="0" applyNumberFormat="1" applyFont="1" applyBorder="1" applyProtection="1">
      <protection hidden="1"/>
    </xf>
    <xf numFmtId="0" fontId="8" fillId="61" borderId="71" xfId="1371" applyFont="1" applyFill="1" applyBorder="1" applyAlignment="1" applyProtection="1">
      <alignment horizontal="center" vertical="center" wrapText="1"/>
      <protection locked="0"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177" fontId="5" fillId="0" borderId="75" xfId="1496" applyNumberFormat="1" applyFont="1" applyFill="1" applyBorder="1" applyAlignment="1" applyProtection="1">
      <alignment horizontal="center" vertical="center" wrapText="1"/>
      <protection hidden="1"/>
    </xf>
    <xf numFmtId="177" fontId="5" fillId="0" borderId="78" xfId="1496" applyNumberFormat="1" applyFont="1" applyFill="1" applyBorder="1" applyAlignment="1" applyProtection="1">
      <alignment vertical="center" wrapText="1"/>
      <protection hidden="1"/>
    </xf>
    <xf numFmtId="0" fontId="8" fillId="61" borderId="74" xfId="1371" applyFont="1" applyFill="1" applyBorder="1" applyAlignment="1" applyProtection="1">
      <alignment vertical="top" wrapText="1"/>
      <protection hidden="1"/>
    </xf>
    <xf numFmtId="179" fontId="5" fillId="24" borderId="75" xfId="1250" applyNumberFormat="1" applyFont="1" applyFill="1" applyBorder="1" applyAlignment="1" applyProtection="1">
      <alignment horizontal="center" vertical="center"/>
      <protection hidden="1"/>
    </xf>
    <xf numFmtId="0" fontId="8" fillId="61" borderId="73" xfId="1371" applyFont="1" applyFill="1" applyBorder="1" applyAlignment="1" applyProtection="1">
      <alignment horizontal="justify" vertical="center" wrapText="1"/>
      <protection locked="0" hidden="1"/>
    </xf>
    <xf numFmtId="0" fontId="8" fillId="61" borderId="73" xfId="1371" applyFont="1" applyFill="1" applyBorder="1" applyAlignment="1" applyProtection="1">
      <alignment horizontal="justify" vertical="center" wrapText="1"/>
      <protection hidden="1"/>
    </xf>
    <xf numFmtId="0" fontId="8" fillId="61" borderId="79" xfId="1371" applyFont="1" applyFill="1" applyBorder="1" applyAlignment="1" applyProtection="1">
      <alignment horizontal="left" vertical="center" wrapText="1"/>
      <protection hidden="1"/>
    </xf>
    <xf numFmtId="14" fontId="9" fillId="0" borderId="71" xfId="1371" applyNumberFormat="1" applyFont="1" applyBorder="1" applyAlignment="1" applyProtection="1">
      <alignment horizontal="center" vertical="center" wrapText="1"/>
      <protection locked="0" hidden="1"/>
    </xf>
    <xf numFmtId="0" fontId="8" fillId="61" borderId="73" xfId="1371" applyFont="1" applyFill="1" applyBorder="1" applyAlignment="1" applyProtection="1">
      <alignment horizontal="justify" vertical="center"/>
      <protection hidden="1"/>
    </xf>
    <xf numFmtId="0" fontId="8" fillId="61" borderId="73" xfId="1371" applyFont="1" applyFill="1" applyBorder="1" applyAlignment="1" applyProtection="1">
      <alignment vertical="center" wrapText="1"/>
      <protection hidden="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167" fontId="59" fillId="0" borderId="0" xfId="1495" applyNumberFormat="1"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177" fontId="5" fillId="0" borderId="78" xfId="1496" applyNumberFormat="1" applyFont="1" applyFill="1" applyBorder="1" applyAlignment="1" applyProtection="1">
      <alignment horizontal="center" vertical="center" wrapText="1"/>
      <protection hidden="1"/>
    </xf>
    <xf numFmtId="14" fontId="5" fillId="0" borderId="71" xfId="1371" applyNumberFormat="1" applyFont="1" applyBorder="1" applyAlignment="1" applyProtection="1">
      <alignment horizontal="center" vertical="center" wrapText="1"/>
      <protection locked="0" hidden="1"/>
    </xf>
    <xf numFmtId="178" fontId="83" fillId="24" borderId="71" xfId="1250" applyNumberFormat="1" applyFont="1" applyFill="1" applyBorder="1" applyAlignment="1" applyProtection="1">
      <alignment horizontal="center" vertical="center"/>
      <protection hidden="1"/>
    </xf>
    <xf numFmtId="9" fontId="54" fillId="0" borderId="71" xfId="1495" applyFont="1" applyBorder="1" applyProtection="1">
      <protection hidden="1"/>
    </xf>
    <xf numFmtId="10" fontId="9" fillId="50" borderId="74" xfId="1495" applyNumberFormat="1" applyFont="1" applyFill="1" applyBorder="1" applyAlignment="1" applyProtection="1">
      <alignment vertical="center" wrapText="1"/>
      <protection locked="0" hidden="1"/>
    </xf>
    <xf numFmtId="178" fontId="5" fillId="0" borderId="75" xfId="1496" applyNumberFormat="1" applyFont="1" applyFill="1" applyBorder="1" applyAlignment="1" applyProtection="1">
      <alignment horizontal="center" vertical="center" wrapText="1"/>
      <protection hidden="1"/>
    </xf>
    <xf numFmtId="178" fontId="5" fillId="0" borderId="72" xfId="1496"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0" borderId="72" xfId="1371" applyFont="1" applyBorder="1" applyAlignment="1" applyProtection="1">
      <alignment horizontal="center" vertical="center"/>
      <protection hidden="1"/>
    </xf>
    <xf numFmtId="1" fontId="9" fillId="24" borderId="75" xfId="1496" applyNumberFormat="1" applyFont="1" applyFill="1" applyBorder="1" applyAlignment="1" applyProtection="1">
      <alignment vertical="center" wrapText="1"/>
      <protection hidden="1"/>
    </xf>
    <xf numFmtId="1" fontId="9" fillId="24" borderId="78" xfId="1496" applyNumberFormat="1" applyFont="1" applyFill="1" applyBorder="1" applyAlignment="1" applyProtection="1">
      <alignment vertical="center" wrapText="1"/>
      <protection hidden="1"/>
    </xf>
    <xf numFmtId="167" fontId="63" fillId="0" borderId="71" xfId="1250" applyFont="1" applyFill="1" applyBorder="1" applyAlignment="1" applyProtection="1">
      <alignment horizontal="center" vertical="center"/>
      <protection hidden="1"/>
    </xf>
    <xf numFmtId="167" fontId="9" fillId="0" borderId="75" xfId="1250" applyFont="1" applyFill="1" applyBorder="1" applyAlignment="1" applyProtection="1">
      <alignment horizontal="center" vertical="center"/>
      <protection hidden="1"/>
    </xf>
    <xf numFmtId="9" fontId="54" fillId="0" borderId="71" xfId="0" applyNumberFormat="1" applyFont="1" applyBorder="1" applyProtection="1">
      <protection hidden="1"/>
    </xf>
    <xf numFmtId="167" fontId="63" fillId="24" borderId="71" xfId="1250" applyFont="1" applyFill="1" applyBorder="1" applyAlignment="1" applyProtection="1">
      <alignment horizontal="center" vertical="center"/>
      <protection hidden="1"/>
    </xf>
    <xf numFmtId="177" fontId="5" fillId="24" borderId="75" xfId="1496" applyNumberFormat="1" applyFont="1" applyFill="1" applyBorder="1" applyAlignment="1" applyProtection="1">
      <alignment horizontal="center" vertical="center" wrapText="1"/>
      <protection hidden="1"/>
    </xf>
    <xf numFmtId="177" fontId="5" fillId="24" borderId="78" xfId="1496" applyNumberFormat="1" applyFont="1" applyFill="1" applyBorder="1" applyAlignment="1" applyProtection="1">
      <alignment horizontal="center" vertical="center" wrapText="1"/>
      <protection hidden="1"/>
    </xf>
    <xf numFmtId="167" fontId="5" fillId="0" borderId="75" xfId="1250" applyFont="1" applyFill="1" applyBorder="1" applyAlignment="1" applyProtection="1">
      <alignment horizontal="center" vertical="center"/>
      <protection hidden="1"/>
    </xf>
    <xf numFmtId="179" fontId="70" fillId="24" borderId="71" xfId="1250" applyNumberFormat="1" applyFont="1" applyFill="1" applyBorder="1" applyAlignment="1" applyProtection="1">
      <alignment horizontal="center" vertical="center"/>
      <protection hidden="1"/>
    </xf>
    <xf numFmtId="167" fontId="70" fillId="24" borderId="75" xfId="1250" applyFont="1" applyFill="1" applyBorder="1" applyAlignment="1" applyProtection="1">
      <alignment horizontal="center" vertical="center"/>
      <protection hidden="1"/>
    </xf>
    <xf numFmtId="180" fontId="70" fillId="24" borderId="75" xfId="1250" applyNumberFormat="1" applyFont="1" applyFill="1" applyBorder="1" applyAlignment="1" applyProtection="1">
      <alignment horizontal="center" vertical="center"/>
      <protection hidden="1"/>
    </xf>
    <xf numFmtId="180" fontId="70" fillId="24" borderId="71" xfId="1250" applyNumberFormat="1" applyFont="1" applyFill="1" applyBorder="1" applyAlignment="1" applyProtection="1">
      <alignment horizontal="center" vertical="center"/>
      <protection hidden="1"/>
    </xf>
    <xf numFmtId="0" fontId="54" fillId="0" borderId="52" xfId="0" applyFont="1" applyBorder="1" applyProtection="1">
      <protection hidden="1"/>
    </xf>
    <xf numFmtId="0" fontId="54" fillId="0" borderId="14" xfId="0" applyFont="1" applyBorder="1" applyProtection="1">
      <protection hidden="1"/>
    </xf>
    <xf numFmtId="0" fontId="15" fillId="61" borderId="71" xfId="1371" applyFont="1" applyFill="1" applyBorder="1" applyAlignment="1" applyProtection="1">
      <alignment vertical="center" wrapText="1"/>
      <protection hidden="1"/>
    </xf>
    <xf numFmtId="2" fontId="5" fillId="0" borderId="75" xfId="1496" applyNumberFormat="1" applyFont="1" applyFill="1" applyBorder="1" applyAlignment="1" applyProtection="1">
      <alignment horizontal="center" vertical="center" wrapText="1"/>
      <protection hidden="1"/>
    </xf>
    <xf numFmtId="2" fontId="5" fillId="0" borderId="78" xfId="1496" applyNumberFormat="1" applyFont="1" applyFill="1" applyBorder="1" applyAlignment="1" applyProtection="1">
      <alignment horizontal="center" vertical="center" wrapText="1"/>
      <protection hidden="1"/>
    </xf>
    <xf numFmtId="14" fontId="12" fillId="0" borderId="71" xfId="1371" applyNumberFormat="1" applyFont="1" applyBorder="1" applyAlignment="1" applyProtection="1">
      <alignment horizontal="center" vertical="center" wrapText="1"/>
      <protection locked="0" hidden="1"/>
    </xf>
    <xf numFmtId="0" fontId="54" fillId="0" borderId="39" xfId="0" applyFont="1" applyBorder="1" applyProtection="1">
      <protection hidden="1"/>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hidden="1"/>
    </xf>
    <xf numFmtId="0" fontId="73" fillId="0" borderId="73" xfId="0" applyFont="1" applyBorder="1" applyAlignment="1" applyProtection="1">
      <alignment horizontal="center" wrapText="1"/>
      <protection locked="0" hidden="1"/>
    </xf>
    <xf numFmtId="0" fontId="73" fillId="0" borderId="65"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55" fillId="0" borderId="72" xfId="0" applyFont="1" applyBorder="1" applyAlignment="1" applyProtection="1">
      <alignment horizontal="center" vertical="center" wrapText="1"/>
      <protection locked="0" hidden="1"/>
    </xf>
    <xf numFmtId="0" fontId="55" fillId="0" borderId="67" xfId="0" applyFont="1" applyBorder="1" applyAlignment="1" applyProtection="1">
      <alignment horizontal="center" vertical="center" wrapText="1"/>
      <protection locked="0" hidden="1"/>
    </xf>
    <xf numFmtId="0" fontId="75" fillId="0" borderId="71" xfId="0" applyFont="1" applyBorder="1" applyAlignment="1" applyProtection="1">
      <alignment horizontal="center" vertical="center" wrapText="1"/>
      <protection locked="0" hidden="1"/>
    </xf>
    <xf numFmtId="0" fontId="75" fillId="0" borderId="66" xfId="0" applyFont="1" applyBorder="1" applyAlignment="1" applyProtection="1">
      <alignment horizontal="center" vertical="center" wrapText="1"/>
      <protection locked="0" hidden="1"/>
    </xf>
    <xf numFmtId="0" fontId="11" fillId="24" borderId="33" xfId="1371" applyFont="1" applyFill="1" applyBorder="1" applyAlignment="1" applyProtection="1">
      <alignment horizontal="center" vertical="center"/>
      <protection hidden="1"/>
    </xf>
    <xf numFmtId="0" fontId="11" fillId="24" borderId="19" xfId="1371" applyFont="1" applyFill="1" applyBorder="1" applyAlignment="1" applyProtection="1">
      <alignment horizontal="center" vertical="center"/>
      <protection hidden="1"/>
    </xf>
    <xf numFmtId="0" fontId="11" fillId="24" borderId="64" xfId="1371" applyFont="1" applyFill="1" applyBorder="1" applyAlignment="1" applyProtection="1">
      <alignment horizontal="center" vertical="center"/>
      <protection hidden="1"/>
    </xf>
    <xf numFmtId="0" fontId="57" fillId="61" borderId="73" xfId="1371" applyFont="1" applyFill="1" applyBorder="1" applyAlignment="1" applyProtection="1">
      <alignment horizontal="center" vertical="center"/>
      <protection hidden="1"/>
    </xf>
    <xf numFmtId="0" fontId="57" fillId="61" borderId="71" xfId="1371" applyFont="1" applyFill="1" applyBorder="1" applyAlignment="1" applyProtection="1">
      <alignment horizontal="center" vertical="center"/>
      <protection hidden="1"/>
    </xf>
    <xf numFmtId="0" fontId="57" fillId="61" borderId="72" xfId="1371" applyFont="1" applyFill="1" applyBorder="1" applyAlignment="1" applyProtection="1">
      <alignment horizontal="center" vertical="center"/>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wrapText="1"/>
      <protection hidden="1"/>
    </xf>
    <xf numFmtId="1" fontId="5" fillId="0" borderId="71" xfId="1273" applyNumberFormat="1" applyFont="1" applyFill="1" applyBorder="1" applyAlignment="1" applyProtection="1">
      <alignment horizontal="center" vertical="center" wrapText="1"/>
      <protection hidden="1"/>
    </xf>
    <xf numFmtId="1" fontId="5" fillId="0" borderId="72" xfId="1273" applyNumberFormat="1" applyFont="1" applyFill="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protection hidden="1"/>
    </xf>
    <xf numFmtId="0" fontId="5" fillId="0" borderId="71" xfId="1496" applyNumberFormat="1" applyFont="1" applyFill="1" applyBorder="1" applyAlignment="1" applyProtection="1">
      <alignment horizontal="center" vertical="center" wrapText="1"/>
      <protection hidden="1"/>
    </xf>
    <xf numFmtId="0" fontId="5" fillId="0" borderId="72" xfId="1496" applyNumberFormat="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wrapText="1"/>
      <protection hidden="1"/>
    </xf>
    <xf numFmtId="0" fontId="5" fillId="0" borderId="72" xfId="137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protection hidden="1"/>
    </xf>
    <xf numFmtId="0" fontId="5" fillId="0" borderId="72" xfId="1371" applyFont="1" applyFill="1" applyBorder="1" applyAlignment="1" applyProtection="1">
      <alignment horizontal="center" vertical="center"/>
      <protection hidden="1"/>
    </xf>
    <xf numFmtId="49" fontId="5" fillId="0" borderId="71" xfId="1371" applyNumberFormat="1" applyFont="1" applyFill="1" applyBorder="1" applyAlignment="1" applyProtection="1">
      <alignment horizontal="center" vertical="center"/>
      <protection hidden="1"/>
    </xf>
    <xf numFmtId="14" fontId="5" fillId="0" borderId="75" xfId="1371" applyNumberFormat="1" applyFont="1" applyFill="1" applyBorder="1" applyAlignment="1" applyProtection="1">
      <alignment horizontal="center" vertical="center" wrapText="1"/>
      <protection hidden="1"/>
    </xf>
    <xf numFmtId="0" fontId="5" fillId="0" borderId="76" xfId="1371" applyFont="1" applyFill="1" applyBorder="1" applyAlignment="1" applyProtection="1">
      <alignment horizontal="center" vertical="center" wrapText="1"/>
      <protection hidden="1"/>
    </xf>
    <xf numFmtId="0" fontId="5" fillId="0" borderId="77" xfId="1371" applyFont="1" applyFill="1" applyBorder="1" applyAlignment="1" applyProtection="1">
      <alignment horizontal="center" vertical="center" wrapText="1"/>
      <protection hidden="1"/>
    </xf>
    <xf numFmtId="175" fontId="5" fillId="0" borderId="75" xfId="1496" applyNumberFormat="1" applyFont="1" applyFill="1" applyBorder="1" applyAlignment="1" applyProtection="1">
      <alignment horizontal="center" vertical="center" wrapText="1"/>
      <protection hidden="1"/>
    </xf>
    <xf numFmtId="175" fontId="5" fillId="0" borderId="76" xfId="1496" applyNumberFormat="1" applyFont="1" applyFill="1" applyBorder="1" applyAlignment="1" applyProtection="1">
      <alignment horizontal="center" vertical="center" wrapText="1"/>
      <protection hidden="1"/>
    </xf>
    <xf numFmtId="175" fontId="5" fillId="0" borderId="78" xfId="1496"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protection hidden="1"/>
    </xf>
    <xf numFmtId="0" fontId="77"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protection hidden="1"/>
    </xf>
    <xf numFmtId="9" fontId="8" fillId="61" borderId="71" xfId="1496" applyFont="1" applyFill="1" applyBorder="1" applyAlignment="1" applyProtection="1">
      <alignment horizontal="center" vertical="center"/>
      <protection hidden="1"/>
    </xf>
    <xf numFmtId="9" fontId="8" fillId="61" borderId="72" xfId="1496" applyFont="1" applyFill="1" applyBorder="1" applyAlignment="1" applyProtection="1">
      <alignment horizontal="center" vertical="center"/>
      <protection hidden="1"/>
    </xf>
    <xf numFmtId="0" fontId="5" fillId="0" borderId="75" xfId="1371" applyFont="1" applyBorder="1" applyAlignment="1" applyProtection="1">
      <alignment horizontal="center" vertical="center"/>
      <protection hidden="1"/>
    </xf>
    <xf numFmtId="0" fontId="5" fillId="0" borderId="76" xfId="1371" applyFont="1" applyBorder="1" applyAlignment="1" applyProtection="1">
      <alignment horizontal="center" vertical="center"/>
      <protection hidden="1"/>
    </xf>
    <xf numFmtId="0" fontId="5" fillId="0" borderId="77"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protection hidden="1"/>
    </xf>
    <xf numFmtId="0" fontId="5" fillId="50" borderId="72" xfId="1371" applyFont="1" applyFill="1" applyBorder="1" applyAlignment="1" applyProtection="1">
      <alignment horizontal="center" vertical="center"/>
      <protection hidden="1"/>
    </xf>
    <xf numFmtId="0" fontId="5" fillId="0" borderId="75" xfId="1371" applyFont="1" applyBorder="1" applyAlignment="1" applyProtection="1">
      <alignment horizontal="justify" vertical="center" wrapText="1"/>
      <protection hidden="1"/>
    </xf>
    <xf numFmtId="0" fontId="5" fillId="0" borderId="76" xfId="1371" applyFont="1" applyBorder="1" applyAlignment="1" applyProtection="1">
      <alignment horizontal="justify" vertical="center" wrapText="1"/>
      <protection hidden="1"/>
    </xf>
    <xf numFmtId="0" fontId="5" fillId="0" borderId="77" xfId="1371" applyFont="1" applyBorder="1" applyAlignment="1" applyProtection="1">
      <alignment horizontal="justify" vertical="center" wrapText="1"/>
      <protection hidden="1"/>
    </xf>
    <xf numFmtId="0" fontId="5" fillId="0" borderId="75" xfId="1371" applyFont="1" applyBorder="1" applyAlignment="1" applyProtection="1">
      <alignment horizontal="center" vertical="center" wrapText="1"/>
      <protection hidden="1"/>
    </xf>
    <xf numFmtId="0" fontId="5" fillId="0" borderId="76" xfId="1371" applyFont="1" applyBorder="1" applyAlignment="1" applyProtection="1">
      <alignment horizontal="center" vertical="center" wrapText="1"/>
      <protection hidden="1"/>
    </xf>
    <xf numFmtId="0" fontId="5" fillId="0" borderId="78" xfId="1371" applyFont="1" applyBorder="1" applyAlignment="1" applyProtection="1">
      <alignment horizontal="center" vertical="center" wrapText="1"/>
      <protection hidden="1"/>
    </xf>
    <xf numFmtId="14" fontId="5" fillId="0" borderId="76" xfId="1371" applyNumberFormat="1" applyFont="1" applyFill="1" applyBorder="1" applyAlignment="1" applyProtection="1">
      <alignment horizontal="center" vertical="center" wrapText="1"/>
      <protection hidden="1"/>
    </xf>
    <xf numFmtId="14" fontId="5" fillId="0" borderId="77" xfId="1371" applyNumberFormat="1" applyFont="1" applyFill="1" applyBorder="1" applyAlignment="1" applyProtection="1">
      <alignment horizontal="center" vertical="center" wrapText="1"/>
      <protection hidden="1"/>
    </xf>
    <xf numFmtId="0" fontId="5" fillId="0" borderId="82" xfId="1371" applyFont="1" applyFill="1" applyBorder="1" applyAlignment="1" applyProtection="1">
      <alignment horizontal="center" vertical="center"/>
      <protection hidden="1"/>
    </xf>
    <xf numFmtId="0" fontId="5" fillId="0" borderId="83" xfId="1371" applyFont="1" applyFill="1" applyBorder="1" applyAlignment="1" applyProtection="1">
      <alignment horizontal="center" vertical="center"/>
      <protection hidden="1"/>
    </xf>
    <xf numFmtId="0" fontId="5" fillId="0" borderId="84" xfId="1371" applyFont="1" applyFill="1" applyBorder="1" applyAlignment="1" applyProtection="1">
      <alignment horizontal="center" vertical="center"/>
      <protection hidden="1"/>
    </xf>
    <xf numFmtId="0" fontId="5" fillId="0" borderId="75" xfId="1371" applyFont="1" applyFill="1" applyBorder="1" applyAlignment="1" applyProtection="1">
      <alignment horizontal="center" vertical="center" wrapText="1"/>
      <protection hidden="1"/>
    </xf>
    <xf numFmtId="0" fontId="5" fillId="0" borderId="78" xfId="1371" applyFont="1" applyFill="1" applyBorder="1" applyAlignment="1" applyProtection="1">
      <alignment horizontal="center" vertical="center" wrapText="1"/>
      <protection hidden="1"/>
    </xf>
    <xf numFmtId="0" fontId="51" fillId="50" borderId="75" xfId="1371" applyFont="1" applyFill="1" applyBorder="1" applyAlignment="1" applyProtection="1">
      <alignment horizontal="justify" vertical="center" wrapText="1"/>
      <protection locked="0" hidden="1"/>
    </xf>
    <xf numFmtId="0" fontId="51" fillId="50" borderId="76" xfId="1371" applyFont="1" applyFill="1" applyBorder="1" applyAlignment="1" applyProtection="1">
      <alignment horizontal="justify" vertical="center" wrapText="1"/>
      <protection locked="0" hidden="1"/>
    </xf>
    <xf numFmtId="0" fontId="51" fillId="50" borderId="78" xfId="1371" applyFont="1" applyFill="1" applyBorder="1" applyAlignment="1" applyProtection="1">
      <alignment horizontal="justify" vertical="center" wrapText="1"/>
      <protection locked="0" hidden="1"/>
    </xf>
    <xf numFmtId="0" fontId="50" fillId="0" borderId="81" xfId="1371" applyFont="1" applyBorder="1" applyAlignment="1" applyProtection="1">
      <alignment horizontal="center" vertical="center"/>
      <protection hidden="1"/>
    </xf>
    <xf numFmtId="0" fontId="50" fillId="0" borderId="83" xfId="1371" applyFont="1" applyBorder="1" applyAlignment="1" applyProtection="1">
      <alignment horizontal="center" vertical="center"/>
      <protection hidden="1"/>
    </xf>
    <xf numFmtId="0" fontId="50" fillId="0" borderId="85"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2" fontId="9" fillId="50" borderId="80" xfId="1495" applyNumberFormat="1" applyFont="1" applyFill="1" applyBorder="1" applyAlignment="1" applyProtection="1">
      <alignment horizontal="center" vertical="center" wrapText="1"/>
      <protection locked="0" hidden="1"/>
    </xf>
    <xf numFmtId="2" fontId="9" fillId="50" borderId="63" xfId="1495" applyNumberFormat="1" applyFont="1" applyFill="1" applyBorder="1" applyAlignment="1" applyProtection="1">
      <alignment horizontal="center" vertical="center" wrapText="1"/>
      <protection locked="0" hidden="1"/>
    </xf>
    <xf numFmtId="2" fontId="9" fillId="50" borderId="64" xfId="1495" applyNumberFormat="1" applyFont="1" applyFill="1" applyBorder="1" applyAlignment="1" applyProtection="1">
      <alignment horizontal="center" vertical="center" wrapText="1"/>
      <protection locked="0" hidden="1"/>
    </xf>
    <xf numFmtId="167" fontId="9" fillId="50" borderId="74"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12" fillId="0" borderId="71" xfId="1371" applyFont="1" applyBorder="1" applyAlignment="1" applyProtection="1">
      <alignment horizontal="center" vertical="center" wrapText="1"/>
      <protection locked="0" hidden="1"/>
    </xf>
    <xf numFmtId="0" fontId="12" fillId="0" borderId="72" xfId="1371" applyFont="1" applyBorder="1" applyAlignment="1" applyProtection="1">
      <alignment horizontal="center" vertical="center" wrapText="1"/>
      <protection locked="0" hidden="1"/>
    </xf>
    <xf numFmtId="0" fontId="12" fillId="0" borderId="66"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8" fillId="61" borderId="79"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wrapText="1"/>
      <protection locked="0" hidden="1"/>
    </xf>
    <xf numFmtId="0" fontId="8" fillId="61" borderId="72" xfId="1371" applyFont="1" applyFill="1" applyBorder="1" applyAlignment="1" applyProtection="1">
      <alignment horizontal="center" vertical="center" wrapText="1"/>
      <protection locked="0" hidden="1"/>
    </xf>
    <xf numFmtId="0" fontId="70" fillId="50" borderId="75" xfId="1371" applyFont="1" applyFill="1" applyBorder="1" applyAlignment="1" applyProtection="1">
      <alignment horizontal="justify" vertical="center" wrapText="1"/>
      <protection locked="0" hidden="1"/>
    </xf>
    <xf numFmtId="0" fontId="70" fillId="50" borderId="76" xfId="1371" applyFont="1" applyFill="1" applyBorder="1" applyAlignment="1" applyProtection="1">
      <alignment horizontal="justify" vertical="center" wrapText="1"/>
      <protection locked="0" hidden="1"/>
    </xf>
    <xf numFmtId="0" fontId="70" fillId="50" borderId="78" xfId="1371" applyFont="1" applyFill="1" applyBorder="1" applyAlignment="1" applyProtection="1">
      <alignment horizontal="justify" vertical="center" wrapText="1"/>
      <protection locked="0" hidden="1"/>
    </xf>
    <xf numFmtId="0" fontId="5" fillId="50" borderId="75" xfId="1371" applyFont="1" applyFill="1" applyBorder="1" applyAlignment="1" applyProtection="1">
      <alignment horizontal="justify" vertical="center" wrapText="1"/>
      <protection locked="0" hidden="1"/>
    </xf>
    <xf numFmtId="0" fontId="5" fillId="50" borderId="76" xfId="1371" applyFont="1" applyFill="1" applyBorder="1" applyAlignment="1" applyProtection="1">
      <alignment horizontal="justify" vertical="center" wrapText="1"/>
      <protection locked="0" hidden="1"/>
    </xf>
    <xf numFmtId="0" fontId="5" fillId="50" borderId="78" xfId="1371" applyFont="1" applyFill="1" applyBorder="1" applyAlignment="1" applyProtection="1">
      <alignment horizontal="justify" vertical="center" wrapText="1"/>
      <protection locked="0" hidden="1"/>
    </xf>
    <xf numFmtId="0" fontId="75" fillId="0" borderId="29" xfId="0" applyFont="1" applyBorder="1" applyAlignment="1" applyProtection="1">
      <alignment horizontal="center" vertical="center" wrapText="1"/>
      <protection locked="0" hidden="1"/>
    </xf>
    <xf numFmtId="14" fontId="5" fillId="50" borderId="75" xfId="1371" applyNumberFormat="1" applyFont="1" applyFill="1" applyBorder="1" applyAlignment="1" applyProtection="1">
      <alignment horizontal="center" vertical="center" wrapText="1"/>
      <protection hidden="1"/>
    </xf>
    <xf numFmtId="0" fontId="5" fillId="50" borderId="76" xfId="1371" applyFont="1" applyFill="1" applyBorder="1" applyAlignment="1" applyProtection="1">
      <alignment horizontal="center" vertical="center" wrapText="1"/>
      <protection hidden="1"/>
    </xf>
    <xf numFmtId="0" fontId="5" fillId="50" borderId="77" xfId="1371" applyFont="1" applyFill="1" applyBorder="1" applyAlignment="1" applyProtection="1">
      <alignment horizontal="center" vertical="center" wrapText="1"/>
      <protection hidden="1"/>
    </xf>
    <xf numFmtId="175" fontId="5" fillId="50" borderId="75" xfId="1496" applyNumberFormat="1" applyFont="1" applyFill="1" applyBorder="1" applyAlignment="1" applyProtection="1">
      <alignment horizontal="center" vertical="center" wrapText="1"/>
      <protection hidden="1"/>
    </xf>
    <xf numFmtId="175" fontId="5" fillId="50" borderId="76" xfId="1496" applyNumberFormat="1" applyFont="1" applyFill="1" applyBorder="1" applyAlignment="1" applyProtection="1">
      <alignment horizontal="center" vertical="center" wrapText="1"/>
      <protection hidden="1"/>
    </xf>
    <xf numFmtId="175" fontId="5" fillId="50" borderId="78" xfId="1496" applyNumberFormat="1" applyFont="1" applyFill="1" applyBorder="1" applyAlignment="1" applyProtection="1">
      <alignment horizontal="center" vertical="center" wrapText="1"/>
      <protection hidden="1"/>
    </xf>
    <xf numFmtId="0" fontId="5" fillId="50" borderId="75" xfId="1371" applyFont="1" applyFill="1" applyBorder="1" applyAlignment="1" applyProtection="1">
      <alignment horizontal="justify" vertical="center" wrapText="1"/>
      <protection hidden="1"/>
    </xf>
    <xf numFmtId="0" fontId="5" fillId="50" borderId="76" xfId="1371" applyFont="1" applyFill="1" applyBorder="1" applyAlignment="1" applyProtection="1">
      <alignment horizontal="justify" vertical="center" wrapText="1"/>
      <protection hidden="1"/>
    </xf>
    <xf numFmtId="0" fontId="5" fillId="50" borderId="77" xfId="1371" applyFont="1" applyFill="1" applyBorder="1" applyAlignment="1" applyProtection="1">
      <alignment horizontal="justify" vertical="center" wrapText="1"/>
      <protection hidden="1"/>
    </xf>
    <xf numFmtId="0" fontId="5" fillId="50" borderId="75" xfId="1371" applyFont="1" applyFill="1" applyBorder="1" applyAlignment="1" applyProtection="1">
      <alignment horizontal="center" vertical="center" wrapText="1"/>
      <protection hidden="1"/>
    </xf>
    <xf numFmtId="0" fontId="5" fillId="50" borderId="78" xfId="1371" applyFont="1" applyFill="1" applyBorder="1" applyAlignment="1" applyProtection="1">
      <alignment horizontal="center" vertical="center" wrapText="1"/>
      <protection hidden="1"/>
    </xf>
    <xf numFmtId="14" fontId="5" fillId="50" borderId="76" xfId="1371" applyNumberFormat="1" applyFont="1" applyFill="1" applyBorder="1" applyAlignment="1" applyProtection="1">
      <alignment horizontal="center" vertical="center" wrapText="1"/>
      <protection hidden="1"/>
    </xf>
    <xf numFmtId="14" fontId="5" fillId="50" borderId="77" xfId="1371" applyNumberFormat="1" applyFont="1" applyFill="1" applyBorder="1" applyAlignment="1" applyProtection="1">
      <alignment horizontal="center" vertical="center" wrapText="1"/>
      <protection hidden="1"/>
    </xf>
    <xf numFmtId="0" fontId="5" fillId="50" borderId="82" xfId="1371" applyFont="1" applyFill="1" applyBorder="1" applyAlignment="1" applyProtection="1">
      <alignment horizontal="center" vertical="center"/>
      <protection hidden="1"/>
    </xf>
    <xf numFmtId="0" fontId="5" fillId="50" borderId="83" xfId="1371" applyFont="1" applyFill="1" applyBorder="1" applyAlignment="1" applyProtection="1">
      <alignment horizontal="center" vertical="center"/>
      <protection hidden="1"/>
    </xf>
    <xf numFmtId="0" fontId="5" fillId="50" borderId="84" xfId="1371" applyFont="1" applyFill="1" applyBorder="1" applyAlignment="1" applyProtection="1">
      <alignment horizontal="center" vertical="center"/>
      <protection hidden="1"/>
    </xf>
    <xf numFmtId="0" fontId="9" fillId="0" borderId="71" xfId="1371" applyFont="1" applyBorder="1" applyAlignment="1" applyProtection="1">
      <alignment horizontal="center" vertical="center" wrapText="1"/>
      <protection locked="0" hidden="1"/>
    </xf>
    <xf numFmtId="0" fontId="9" fillId="0" borderId="72"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70" xfId="1371" applyFont="1" applyBorder="1" applyAlignment="1" applyProtection="1">
      <alignment horizontal="center" vertical="center" wrapText="1"/>
      <protection locked="0" hidden="1"/>
    </xf>
    <xf numFmtId="0" fontId="57" fillId="0" borderId="71" xfId="0" applyFont="1" applyBorder="1" applyAlignment="1" applyProtection="1">
      <alignment horizontal="center" vertical="center" wrapText="1"/>
      <protection locked="0" hidden="1"/>
    </xf>
    <xf numFmtId="0" fontId="11" fillId="24" borderId="73" xfId="1371" applyFont="1" applyFill="1" applyBorder="1" applyAlignment="1" applyProtection="1">
      <alignment horizontal="center" vertical="center"/>
      <protection hidden="1"/>
    </xf>
    <xf numFmtId="0" fontId="11" fillId="24" borderId="71" xfId="1371" applyFont="1" applyFill="1" applyBorder="1" applyAlignment="1" applyProtection="1">
      <alignment horizontal="center" vertical="center"/>
      <protection hidden="1"/>
    </xf>
    <xf numFmtId="0" fontId="11" fillId="24" borderId="72" xfId="1371" applyFont="1" applyFill="1" applyBorder="1" applyAlignment="1" applyProtection="1">
      <alignment horizontal="center" vertical="center"/>
      <protection hidden="1"/>
    </xf>
    <xf numFmtId="9" fontId="5" fillId="0" borderId="71" xfId="1496" applyFont="1" applyFill="1" applyBorder="1" applyAlignment="1" applyProtection="1">
      <alignment horizontal="center" vertical="center" wrapText="1"/>
      <protection hidden="1"/>
    </xf>
    <xf numFmtId="49" fontId="5" fillId="0" borderId="71" xfId="1371" applyNumberFormat="1" applyFont="1" applyBorder="1" applyAlignment="1" applyProtection="1">
      <alignment horizontal="center" vertical="center" wrapText="1"/>
      <protection hidden="1"/>
    </xf>
    <xf numFmtId="0" fontId="5" fillId="50" borderId="71" xfId="1371" applyFont="1" applyFill="1" applyBorder="1" applyAlignment="1" applyProtection="1">
      <alignment horizontal="left" vertical="center" wrapText="1"/>
      <protection hidden="1"/>
    </xf>
    <xf numFmtId="0" fontId="5" fillId="50" borderId="72" xfId="1371" applyFont="1" applyFill="1" applyBorder="1" applyAlignment="1" applyProtection="1">
      <alignment horizontal="left" vertical="center" wrapText="1"/>
      <protection hidden="1"/>
    </xf>
    <xf numFmtId="14" fontId="5" fillId="0" borderId="75" xfId="1371" applyNumberFormat="1" applyFont="1" applyBorder="1" applyAlignment="1" applyProtection="1">
      <alignment horizontal="center" vertical="center" wrapText="1"/>
      <protection hidden="1"/>
    </xf>
    <xf numFmtId="0" fontId="5" fillId="0" borderId="77" xfId="1371" applyFont="1" applyBorder="1" applyAlignment="1" applyProtection="1">
      <alignment horizontal="center" vertical="center" wrapText="1"/>
      <protection hidden="1"/>
    </xf>
    <xf numFmtId="176" fontId="5" fillId="24" borderId="75" xfId="1250" applyNumberFormat="1" applyFont="1" applyFill="1" applyBorder="1" applyAlignment="1" applyProtection="1">
      <alignment horizontal="center" vertical="center" wrapText="1"/>
      <protection hidden="1"/>
    </xf>
    <xf numFmtId="176" fontId="5" fillId="24" borderId="76" xfId="1250" applyNumberFormat="1" applyFont="1" applyFill="1" applyBorder="1" applyAlignment="1" applyProtection="1">
      <alignment horizontal="center" vertical="center" wrapText="1"/>
      <protection hidden="1"/>
    </xf>
    <xf numFmtId="176" fontId="5" fillId="24" borderId="78" xfId="1250"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wrapText="1"/>
      <protection hidden="1"/>
    </xf>
    <xf numFmtId="0" fontId="77" fillId="0" borderId="72" xfId="1371" applyFont="1" applyBorder="1" applyAlignment="1" applyProtection="1">
      <alignment horizontal="center" vertical="center" wrapText="1"/>
      <protection hidden="1"/>
    </xf>
    <xf numFmtId="14" fontId="5" fillId="0" borderId="76" xfId="1371" applyNumberFormat="1" applyFont="1" applyBorder="1" applyAlignment="1" applyProtection="1">
      <alignment horizontal="center" vertical="center" wrapText="1"/>
      <protection hidden="1"/>
    </xf>
    <xf numFmtId="14" fontId="5" fillId="0" borderId="77" xfId="1371" applyNumberFormat="1" applyFont="1" applyBorder="1" applyAlignment="1" applyProtection="1">
      <alignment horizontal="center" vertical="center" wrapText="1"/>
      <protection hidden="1"/>
    </xf>
    <xf numFmtId="0" fontId="5" fillId="50" borderId="82" xfId="1371" applyFont="1" applyFill="1" applyBorder="1" applyAlignment="1" applyProtection="1">
      <alignment horizontal="center" vertical="center" wrapText="1"/>
      <protection hidden="1"/>
    </xf>
    <xf numFmtId="0" fontId="5" fillId="50" borderId="83" xfId="1371" applyFont="1" applyFill="1" applyBorder="1" applyAlignment="1" applyProtection="1">
      <alignment horizontal="center" vertical="center" wrapText="1"/>
      <protection hidden="1"/>
    </xf>
    <xf numFmtId="0" fontId="5" fillId="50" borderId="84" xfId="1371" applyFont="1" applyFill="1" applyBorder="1" applyAlignment="1" applyProtection="1">
      <alignment horizontal="center" vertical="center" wrapText="1"/>
      <protection hidden="1"/>
    </xf>
    <xf numFmtId="0" fontId="50" fillId="61" borderId="73" xfId="1371" applyFont="1" applyFill="1" applyBorder="1" applyAlignment="1" applyProtection="1">
      <alignment horizontal="center" vertical="center"/>
      <protection hidden="1"/>
    </xf>
    <xf numFmtId="0" fontId="50" fillId="61" borderId="71" xfId="1371" applyFont="1" applyFill="1" applyBorder="1" applyAlignment="1" applyProtection="1">
      <alignment horizontal="center" vertical="center"/>
      <protection hidden="1"/>
    </xf>
    <xf numFmtId="0" fontId="50" fillId="61" borderId="72" xfId="1371" applyFont="1" applyFill="1" applyBorder="1" applyAlignment="1" applyProtection="1">
      <alignment horizontal="center" vertical="center"/>
      <protection hidden="1"/>
    </xf>
    <xf numFmtId="0" fontId="5" fillId="0" borderId="78" xfId="1371" applyFont="1" applyBorder="1" applyAlignment="1" applyProtection="1">
      <alignment horizontal="center" vertical="center"/>
      <protection hidden="1"/>
    </xf>
    <xf numFmtId="0" fontId="5" fillId="0" borderId="71" xfId="1371" applyFont="1" applyBorder="1" applyAlignment="1" applyProtection="1">
      <alignment horizontal="center" vertical="center" wrapText="1"/>
      <protection locked="0" hidden="1"/>
    </xf>
    <xf numFmtId="0" fontId="5" fillId="0" borderId="72" xfId="1371" applyFont="1" applyBorder="1" applyAlignment="1" applyProtection="1">
      <alignment horizontal="center" vertical="center" wrapText="1"/>
      <protection locked="0" hidden="1"/>
    </xf>
    <xf numFmtId="0" fontId="5" fillId="0" borderId="66" xfId="1371" applyFont="1" applyBorder="1" applyAlignment="1" applyProtection="1">
      <alignment horizontal="center" vertical="center" wrapText="1"/>
      <protection locked="0" hidden="1"/>
    </xf>
    <xf numFmtId="0" fontId="5" fillId="0" borderId="67" xfId="1371" applyFont="1" applyBorder="1" applyAlignment="1" applyProtection="1">
      <alignment horizontal="center" vertical="center" wrapText="1"/>
      <protection locked="0" hidden="1"/>
    </xf>
    <xf numFmtId="0" fontId="70" fillId="0" borderId="75" xfId="1371" applyFont="1" applyBorder="1" applyAlignment="1" applyProtection="1">
      <alignment horizontal="justify" vertical="center" wrapText="1"/>
      <protection locked="0" hidden="1"/>
    </xf>
    <xf numFmtId="0" fontId="70" fillId="0" borderId="76" xfId="1371" applyFont="1" applyBorder="1" applyAlignment="1" applyProtection="1">
      <alignment horizontal="justify" vertical="center" wrapText="1"/>
      <protection locked="0" hidden="1"/>
    </xf>
    <xf numFmtId="0" fontId="70" fillId="0" borderId="78" xfId="1371" applyFont="1" applyBorder="1" applyAlignment="1" applyProtection="1">
      <alignment horizontal="justify" vertical="center" wrapText="1"/>
      <protection locked="0" hidden="1"/>
    </xf>
    <xf numFmtId="0" fontId="5" fillId="0" borderId="75" xfId="1371" applyFont="1" applyBorder="1" applyAlignment="1" applyProtection="1">
      <alignment horizontal="justify" vertical="center" wrapText="1"/>
      <protection locked="0" hidden="1"/>
    </xf>
    <xf numFmtId="0" fontId="5" fillId="0" borderId="76" xfId="1371" applyFont="1" applyBorder="1" applyAlignment="1" applyProtection="1">
      <alignment horizontal="justify" vertical="center" wrapText="1"/>
      <protection locked="0" hidden="1"/>
    </xf>
    <xf numFmtId="0" fontId="5" fillId="0" borderId="78" xfId="1371" applyFont="1" applyBorder="1" applyAlignment="1" applyProtection="1">
      <alignment horizontal="justify" vertical="center" wrapText="1"/>
      <protection locked="0" hidden="1"/>
    </xf>
    <xf numFmtId="0" fontId="9" fillId="0" borderId="71" xfId="1371" applyFont="1" applyBorder="1" applyAlignment="1" applyProtection="1">
      <alignment horizontal="center" vertical="center" wrapText="1"/>
      <protection hidden="1"/>
    </xf>
    <xf numFmtId="0" fontId="9" fillId="0" borderId="72" xfId="1371" applyFont="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50" borderId="71" xfId="1371" applyFont="1" applyFill="1" applyBorder="1" applyAlignment="1" applyProtection="1">
      <alignment horizontal="center" vertical="center" wrapText="1"/>
      <protection hidden="1"/>
    </xf>
    <xf numFmtId="0" fontId="9" fillId="50" borderId="72" xfId="1371" applyFont="1" applyFill="1" applyBorder="1" applyAlignment="1" applyProtection="1">
      <alignment horizontal="center" vertical="center" wrapText="1"/>
      <protection hidden="1"/>
    </xf>
    <xf numFmtId="1" fontId="9" fillId="0" borderId="71" xfId="1273" applyNumberFormat="1" applyFont="1" applyFill="1" applyBorder="1" applyAlignment="1" applyProtection="1">
      <alignment horizontal="center" vertical="center" wrapText="1"/>
      <protection hidden="1"/>
    </xf>
    <xf numFmtId="1" fontId="9" fillId="0" borderId="72" xfId="1273" applyNumberFormat="1" applyFont="1" applyFill="1" applyBorder="1" applyAlignment="1" applyProtection="1">
      <alignment horizontal="center" vertical="center" wrapText="1"/>
      <protection hidden="1"/>
    </xf>
    <xf numFmtId="9" fontId="9" fillId="0" borderId="71" xfId="1496" applyFont="1" applyFill="1" applyBorder="1" applyAlignment="1" applyProtection="1">
      <alignment horizontal="center" vertical="center"/>
      <protection hidden="1"/>
    </xf>
    <xf numFmtId="0" fontId="9" fillId="0" borderId="71" xfId="1496" applyNumberFormat="1" applyFont="1" applyFill="1" applyBorder="1" applyAlignment="1" applyProtection="1">
      <alignment horizontal="center" vertical="center" wrapText="1"/>
      <protection hidden="1"/>
    </xf>
    <xf numFmtId="0" fontId="9" fillId="0" borderId="72" xfId="1496" applyNumberFormat="1" applyFont="1" applyFill="1" applyBorder="1" applyAlignment="1" applyProtection="1">
      <alignment horizontal="center" vertical="center" wrapText="1"/>
      <protection hidden="1"/>
    </xf>
    <xf numFmtId="0" fontId="9" fillId="0" borderId="72" xfId="1371" applyFont="1" applyBorder="1" applyAlignment="1" applyProtection="1">
      <alignment horizontal="center" vertical="center"/>
      <protection hidden="1"/>
    </xf>
    <xf numFmtId="0" fontId="8" fillId="50" borderId="71" xfId="1371" applyFont="1" applyFill="1" applyBorder="1" applyAlignment="1" applyProtection="1">
      <alignment horizontal="center" vertical="center" wrapText="1"/>
      <protection hidden="1"/>
    </xf>
    <xf numFmtId="0" fontId="9" fillId="50" borderId="71" xfId="1371" applyFont="1" applyFill="1" applyBorder="1" applyAlignment="1" applyProtection="1">
      <alignment horizontal="center" vertical="center"/>
      <protection hidden="1"/>
    </xf>
    <xf numFmtId="0" fontId="9" fillId="50" borderId="72" xfId="1371" applyFont="1" applyFill="1" applyBorder="1" applyAlignment="1" applyProtection="1">
      <alignment horizontal="center" vertical="center"/>
      <protection hidden="1"/>
    </xf>
    <xf numFmtId="49" fontId="9" fillId="0" borderId="71" xfId="1371" applyNumberFormat="1" applyFont="1" applyBorder="1" applyAlignment="1" applyProtection="1">
      <alignment horizontal="center" vertical="center"/>
      <protection hidden="1"/>
    </xf>
    <xf numFmtId="0" fontId="9" fillId="0" borderId="71" xfId="1371" applyFont="1" applyBorder="1" applyAlignment="1" applyProtection="1">
      <alignment horizontal="left" vertical="center" wrapText="1"/>
      <protection hidden="1"/>
    </xf>
    <xf numFmtId="0" fontId="9" fillId="0" borderId="72" xfId="1371" applyFont="1" applyBorder="1" applyAlignment="1" applyProtection="1">
      <alignment horizontal="left" vertical="center" wrapText="1"/>
      <protection hidden="1"/>
    </xf>
    <xf numFmtId="14" fontId="9" fillId="0" borderId="75" xfId="1371" applyNumberFormat="1" applyFont="1" applyBorder="1" applyAlignment="1" applyProtection="1">
      <alignment horizontal="center" vertical="center" wrapText="1"/>
      <protection hidden="1"/>
    </xf>
    <xf numFmtId="0" fontId="9" fillId="0" borderId="76" xfId="1371" applyFont="1" applyBorder="1" applyAlignment="1" applyProtection="1">
      <alignment horizontal="center" vertical="center" wrapText="1"/>
      <protection hidden="1"/>
    </xf>
    <xf numFmtId="0" fontId="9" fillId="0" borderId="77" xfId="1371" applyFont="1" applyBorder="1" applyAlignment="1" applyProtection="1">
      <alignment horizontal="center" vertical="center" wrapText="1"/>
      <protection hidden="1"/>
    </xf>
    <xf numFmtId="171" fontId="9" fillId="24" borderId="75" xfId="1250" applyNumberFormat="1" applyFont="1" applyFill="1" applyBorder="1" applyAlignment="1" applyProtection="1">
      <alignment horizontal="center" vertical="center" wrapText="1"/>
      <protection hidden="1"/>
    </xf>
    <xf numFmtId="171" fontId="9" fillId="24" borderId="76" xfId="1250" applyNumberFormat="1" applyFont="1" applyFill="1" applyBorder="1" applyAlignment="1" applyProtection="1">
      <alignment horizontal="center" vertical="center" wrapText="1"/>
      <protection hidden="1"/>
    </xf>
    <xf numFmtId="171" fontId="9" fillId="24" borderId="78" xfId="1250" applyNumberFormat="1" applyFont="1" applyFill="1" applyBorder="1" applyAlignment="1" applyProtection="1">
      <alignment horizontal="center" vertical="center" wrapText="1"/>
      <protection hidden="1"/>
    </xf>
    <xf numFmtId="0" fontId="14" fillId="0" borderId="71" xfId="1371" applyFont="1" applyBorder="1" applyAlignment="1" applyProtection="1">
      <alignment horizontal="center" vertical="center"/>
      <protection hidden="1"/>
    </xf>
    <xf numFmtId="0" fontId="14" fillId="0" borderId="72" xfId="1371" applyFont="1" applyBorder="1" applyAlignment="1" applyProtection="1">
      <alignment horizontal="center" vertical="center"/>
      <protection hidden="1"/>
    </xf>
    <xf numFmtId="0" fontId="9" fillId="0" borderId="75" xfId="1371" applyFont="1" applyBorder="1" applyAlignment="1" applyProtection="1">
      <alignment horizontal="center" vertical="center"/>
      <protection hidden="1"/>
    </xf>
    <xf numFmtId="0" fontId="9" fillId="0" borderId="76" xfId="1371" applyFont="1" applyBorder="1" applyAlignment="1" applyProtection="1">
      <alignment horizontal="center" vertical="center"/>
      <protection hidden="1"/>
    </xf>
    <xf numFmtId="0" fontId="9" fillId="0" borderId="77" xfId="1371" applyFont="1" applyBorder="1" applyAlignment="1" applyProtection="1">
      <alignment horizontal="center" vertical="center"/>
      <protection hidden="1"/>
    </xf>
    <xf numFmtId="0" fontId="9" fillId="0" borderId="75" xfId="1371" applyFont="1" applyBorder="1" applyAlignment="1" applyProtection="1">
      <alignment horizontal="justify" vertical="center" wrapText="1"/>
      <protection hidden="1"/>
    </xf>
    <xf numFmtId="0" fontId="9" fillId="0" borderId="76" xfId="1371" applyFont="1" applyBorder="1" applyAlignment="1" applyProtection="1">
      <alignment horizontal="justify" vertical="center" wrapText="1"/>
      <protection hidden="1"/>
    </xf>
    <xf numFmtId="0" fontId="9" fillId="0" borderId="77" xfId="1371" applyFont="1" applyBorder="1" applyAlignment="1" applyProtection="1">
      <alignment horizontal="justify" vertical="center" wrapText="1"/>
      <protection hidden="1"/>
    </xf>
    <xf numFmtId="0" fontId="9" fillId="0" borderId="75" xfId="1371" applyFont="1" applyBorder="1" applyAlignment="1" applyProtection="1">
      <alignment horizontal="center" vertical="center" wrapText="1"/>
      <protection hidden="1"/>
    </xf>
    <xf numFmtId="0" fontId="9" fillId="0" borderId="78" xfId="1371" applyFont="1" applyBorder="1" applyAlignment="1" applyProtection="1">
      <alignment horizontal="center" vertical="center" wrapText="1"/>
      <protection hidden="1"/>
    </xf>
    <xf numFmtId="14" fontId="9" fillId="0" borderId="76" xfId="1371" applyNumberFormat="1" applyFont="1" applyBorder="1" applyAlignment="1" applyProtection="1">
      <alignment horizontal="center" vertical="center" wrapText="1"/>
      <protection hidden="1"/>
    </xf>
    <xf numFmtId="14" fontId="9" fillId="0" borderId="77" xfId="1371" applyNumberFormat="1" applyFont="1" applyBorder="1" applyAlignment="1" applyProtection="1">
      <alignment horizontal="center" vertical="center" wrapText="1"/>
      <protection hidden="1"/>
    </xf>
    <xf numFmtId="0" fontId="9" fillId="50" borderId="82" xfId="1371" applyFont="1" applyFill="1" applyBorder="1" applyAlignment="1" applyProtection="1">
      <alignment horizontal="center" vertical="center"/>
      <protection hidden="1"/>
    </xf>
    <xf numFmtId="0" fontId="9" fillId="50" borderId="83" xfId="1371" applyFont="1" applyFill="1" applyBorder="1" applyAlignment="1" applyProtection="1">
      <alignment horizontal="center" vertical="center"/>
      <protection hidden="1"/>
    </xf>
    <xf numFmtId="0" fontId="9" fillId="50" borderId="84" xfId="1371" applyFont="1" applyFill="1" applyBorder="1" applyAlignment="1" applyProtection="1">
      <alignment horizontal="center" vertical="center"/>
      <protection hidden="1"/>
    </xf>
    <xf numFmtId="167" fontId="9" fillId="50" borderId="80" xfId="1250" applyFont="1" applyFill="1" applyBorder="1" applyAlignment="1" applyProtection="1">
      <alignment horizontal="center" vertical="center" wrapText="1"/>
      <protection locked="0" hidden="1"/>
    </xf>
    <xf numFmtId="167" fontId="9" fillId="50" borderId="63"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0" fontId="51" fillId="0" borderId="75" xfId="1371" applyFont="1" applyBorder="1" applyAlignment="1" applyProtection="1">
      <alignment horizontal="justify" vertical="center" wrapText="1"/>
      <protection locked="0" hidden="1"/>
    </xf>
    <xf numFmtId="0" fontId="51" fillId="0" borderId="76" xfId="1371" applyFont="1" applyBorder="1" applyAlignment="1" applyProtection="1">
      <alignment horizontal="justify" vertical="center" wrapText="1"/>
      <protection locked="0" hidden="1"/>
    </xf>
    <xf numFmtId="0" fontId="51" fillId="0" borderId="78" xfId="1371" applyFont="1" applyBorder="1" applyAlignment="1" applyProtection="1">
      <alignment horizontal="justify" vertical="center" wrapText="1"/>
      <protection locked="0" hidden="1"/>
    </xf>
    <xf numFmtId="0" fontId="9" fillId="0" borderId="75" xfId="1371" applyFont="1" applyBorder="1" applyAlignment="1" applyProtection="1">
      <alignment horizontal="justify" vertical="center" wrapText="1"/>
      <protection locked="0" hidden="1"/>
    </xf>
    <xf numFmtId="0" fontId="9" fillId="0" borderId="76" xfId="1371" applyFont="1" applyBorder="1" applyAlignment="1" applyProtection="1">
      <alignment horizontal="justify" vertical="center" wrapText="1"/>
      <protection locked="0" hidden="1"/>
    </xf>
    <xf numFmtId="0" fontId="9" fillId="0" borderId="78" xfId="1371" applyFont="1" applyBorder="1" applyAlignment="1" applyProtection="1">
      <alignment horizontal="justify" vertical="center" wrapText="1"/>
      <protection locked="0" hidden="1"/>
    </xf>
    <xf numFmtId="0" fontId="9" fillId="0" borderId="78" xfId="1371" applyFont="1" applyBorder="1" applyAlignment="1" applyProtection="1">
      <alignment horizontal="center" vertical="center"/>
      <protection hidden="1"/>
    </xf>
    <xf numFmtId="0" fontId="9" fillId="0" borderId="66" xfId="1371" applyFont="1" applyBorder="1" applyAlignment="1" applyProtection="1">
      <alignment horizontal="center" vertical="center" wrapText="1"/>
      <protection locked="0" hidden="1"/>
    </xf>
    <xf numFmtId="0" fontId="9" fillId="0" borderId="67" xfId="1371" applyFont="1" applyBorder="1" applyAlignment="1" applyProtection="1">
      <alignment horizontal="center" vertical="center" wrapText="1"/>
      <protection locked="0" hidden="1"/>
    </xf>
    <xf numFmtId="0" fontId="11" fillId="24" borderId="42" xfId="1371" applyFont="1" applyFill="1" applyBorder="1" applyAlignment="1" applyProtection="1">
      <alignment horizontal="center" vertical="center"/>
      <protection hidden="1"/>
    </xf>
    <xf numFmtId="0" fontId="11" fillId="24" borderId="29" xfId="1371" applyFont="1" applyFill="1" applyBorder="1" applyAlignment="1" applyProtection="1">
      <alignment horizontal="center" vertical="center"/>
      <protection hidden="1"/>
    </xf>
    <xf numFmtId="0" fontId="11" fillId="24" borderId="30" xfId="1371" applyFont="1" applyFill="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70" fillId="0" borderId="71" xfId="1371" applyFont="1" applyBorder="1" applyAlignment="1" applyProtection="1">
      <alignment horizontal="left" vertical="center" wrapText="1"/>
      <protection hidden="1"/>
    </xf>
    <xf numFmtId="0" fontId="79" fillId="0" borderId="71" xfId="1371" applyFont="1" applyBorder="1" applyAlignment="1" applyProtection="1">
      <alignment horizontal="left" vertical="center" wrapText="1"/>
      <protection hidden="1"/>
    </xf>
    <xf numFmtId="0" fontId="79" fillId="0" borderId="72" xfId="1371" applyFont="1" applyBorder="1" applyAlignment="1" applyProtection="1">
      <alignment horizontal="left" vertical="center" wrapText="1"/>
      <protection hidden="1"/>
    </xf>
    <xf numFmtId="0" fontId="5" fillId="0" borderId="75" xfId="1371" applyFont="1" applyBorder="1" applyAlignment="1" applyProtection="1">
      <alignment horizontal="left" vertical="center" wrapText="1"/>
      <protection hidden="1"/>
    </xf>
    <xf numFmtId="0" fontId="5" fillId="0" borderId="76" xfId="1371" applyFont="1" applyBorder="1" applyAlignment="1" applyProtection="1">
      <alignment horizontal="left" vertical="center" wrapText="1"/>
      <protection hidden="1"/>
    </xf>
    <xf numFmtId="0" fontId="5" fillId="0" borderId="78" xfId="1371" applyFont="1" applyBorder="1" applyAlignment="1" applyProtection="1">
      <alignment horizontal="left" vertical="center" wrapText="1"/>
      <protection hidden="1"/>
    </xf>
    <xf numFmtId="0" fontId="5" fillId="0" borderId="68" xfId="1371" applyFont="1" applyBorder="1" applyAlignment="1" applyProtection="1">
      <alignment horizontal="center" vertical="center" wrapText="1"/>
      <protection locked="0" hidden="1"/>
    </xf>
    <xf numFmtId="0" fontId="5" fillId="0" borderId="69" xfId="1371" applyFont="1" applyBorder="1" applyAlignment="1" applyProtection="1">
      <alignment horizontal="center" vertical="center" wrapText="1"/>
      <protection locked="0" hidden="1"/>
    </xf>
    <xf numFmtId="0" fontId="5" fillId="0" borderId="70" xfId="1371" applyFont="1" applyBorder="1" applyAlignment="1" applyProtection="1">
      <alignment horizontal="center" vertical="center" wrapText="1"/>
      <protection locked="0" hidden="1"/>
    </xf>
    <xf numFmtId="0" fontId="5" fillId="0" borderId="75" xfId="1371" applyFont="1" applyFill="1" applyBorder="1" applyAlignment="1" applyProtection="1">
      <alignment horizontal="justify" vertical="center" wrapText="1"/>
      <protection hidden="1"/>
    </xf>
    <xf numFmtId="0" fontId="5" fillId="0" borderId="76" xfId="1371" applyFont="1" applyFill="1" applyBorder="1" applyAlignment="1" applyProtection="1">
      <alignment horizontal="justify" vertical="center" wrapText="1"/>
      <protection hidden="1"/>
    </xf>
    <xf numFmtId="0" fontId="5" fillId="0" borderId="77" xfId="1371" applyFont="1" applyFill="1" applyBorder="1" applyAlignment="1" applyProtection="1">
      <alignment horizontal="justify" vertical="center" wrapText="1"/>
      <protection hidden="1"/>
    </xf>
    <xf numFmtId="0" fontId="54" fillId="50" borderId="75" xfId="1371" applyFont="1" applyFill="1" applyBorder="1" applyAlignment="1" applyProtection="1">
      <alignment horizontal="justify" vertical="center" wrapText="1"/>
      <protection locked="0" hidden="1"/>
    </xf>
    <xf numFmtId="0" fontId="54" fillId="50" borderId="76" xfId="1371" applyFont="1" applyFill="1" applyBorder="1" applyAlignment="1" applyProtection="1">
      <alignment horizontal="justify" vertical="center" wrapText="1"/>
      <protection locked="0" hidden="1"/>
    </xf>
    <xf numFmtId="0" fontId="54" fillId="50" borderId="78" xfId="1371" applyFont="1" applyFill="1" applyBorder="1" applyAlignment="1" applyProtection="1">
      <alignment horizontal="justify" vertical="center" wrapText="1"/>
      <protection locked="0" hidden="1"/>
    </xf>
    <xf numFmtId="0" fontId="55" fillId="50" borderId="75" xfId="1371" applyFont="1" applyFill="1" applyBorder="1" applyAlignment="1" applyProtection="1">
      <alignment horizontal="justify" vertical="center" wrapText="1"/>
      <protection locked="0" hidden="1"/>
    </xf>
    <xf numFmtId="0" fontId="9" fillId="50" borderId="75" xfId="1371" applyFont="1" applyFill="1" applyBorder="1" applyAlignment="1" applyProtection="1">
      <alignment horizontal="justify" vertical="center" wrapText="1"/>
      <protection locked="0" hidden="1"/>
    </xf>
    <xf numFmtId="0" fontId="9" fillId="50" borderId="76" xfId="1371" applyFont="1" applyFill="1" applyBorder="1" applyAlignment="1" applyProtection="1">
      <alignment horizontal="justify" vertical="center" wrapText="1"/>
      <protection locked="0" hidden="1"/>
    </xf>
    <xf numFmtId="0" fontId="9" fillId="50" borderId="78" xfId="1371" applyFont="1" applyFill="1" applyBorder="1" applyAlignment="1" applyProtection="1">
      <alignment horizontal="justify" vertical="center" wrapText="1"/>
      <protection locked="0" hidden="1"/>
    </xf>
    <xf numFmtId="0" fontId="9" fillId="0" borderId="71" xfId="1371" applyFont="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1" xfId="751" xr:uid="{00000000-0005-0000-0000-0000EF020000}"/>
    <cellStyle name="Cálculo 12" xfId="752" xr:uid="{00000000-0005-0000-0000-0000F0020000}"/>
    <cellStyle name="Cálculo 13" xfId="753" xr:uid="{00000000-0005-0000-0000-0000F1020000}"/>
    <cellStyle name="Cálculo 14" xfId="754" xr:uid="{00000000-0005-0000-0000-0000F2020000}"/>
    <cellStyle name="Cálculo 15" xfId="755" xr:uid="{00000000-0005-0000-0000-0000F3020000}"/>
    <cellStyle name="Cálculo 16" xfId="756" xr:uid="{00000000-0005-0000-0000-0000F4020000}"/>
    <cellStyle name="Cálculo 17" xfId="757" xr:uid="{00000000-0005-0000-0000-0000F5020000}"/>
    <cellStyle name="Cálculo 18" xfId="758" xr:uid="{00000000-0005-0000-0000-0000F6020000}"/>
    <cellStyle name="Cálculo 2" xfId="759" xr:uid="{00000000-0005-0000-0000-0000F7020000}"/>
    <cellStyle name="Cálculo 3" xfId="760" xr:uid="{00000000-0005-0000-0000-0000F8020000}"/>
    <cellStyle name="Cálculo 4" xfId="761" xr:uid="{00000000-0005-0000-0000-0000F9020000}"/>
    <cellStyle name="Cálculo 5" xfId="762" xr:uid="{00000000-0005-0000-0000-0000FA020000}"/>
    <cellStyle name="Cálculo 6" xfId="763" xr:uid="{00000000-0005-0000-0000-0000FB020000}"/>
    <cellStyle name="Cálculo 7" xfId="764" xr:uid="{00000000-0005-0000-0000-0000FC020000}"/>
    <cellStyle name="Cálculo 8" xfId="765" xr:uid="{00000000-0005-0000-0000-0000FD020000}"/>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1" xfId="1143" xr:uid="{00000000-0005-0000-0000-000079040000}"/>
    <cellStyle name="Entrada 12" xfId="1144" xr:uid="{00000000-0005-0000-0000-00007A040000}"/>
    <cellStyle name="Entrada 13" xfId="1145" xr:uid="{00000000-0005-0000-0000-00007B040000}"/>
    <cellStyle name="Entrada 14" xfId="1146" xr:uid="{00000000-0005-0000-0000-00007C040000}"/>
    <cellStyle name="Entrada 15" xfId="1147" xr:uid="{00000000-0005-0000-0000-00007D040000}"/>
    <cellStyle name="Entrada 16" xfId="1148" xr:uid="{00000000-0005-0000-0000-00007E040000}"/>
    <cellStyle name="Entrada 17" xfId="1149" xr:uid="{00000000-0005-0000-0000-00007F040000}"/>
    <cellStyle name="Entrada 18" xfId="1150" xr:uid="{00000000-0005-0000-0000-000080040000}"/>
    <cellStyle name="Entrada 2" xfId="1151" xr:uid="{00000000-0005-0000-0000-000081040000}"/>
    <cellStyle name="Entrada 3" xfId="1152" xr:uid="{00000000-0005-0000-0000-000082040000}"/>
    <cellStyle name="Entrada 4" xfId="1153" xr:uid="{00000000-0005-0000-0000-000083040000}"/>
    <cellStyle name="Entrada 5" xfId="1154" xr:uid="{00000000-0005-0000-0000-000084040000}"/>
    <cellStyle name="Entrada 6" xfId="1155" xr:uid="{00000000-0005-0000-0000-000085040000}"/>
    <cellStyle name="Entrada 7" xfId="1156" xr:uid="{00000000-0005-0000-0000-000086040000}"/>
    <cellStyle name="Entrada 8" xfId="1157" xr:uid="{00000000-0005-0000-0000-000087040000}"/>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4" xfId="1261" xr:uid="{00000000-0005-0000-0000-0000F0040000}"/>
    <cellStyle name="Millares 2 2" xfId="1262" xr:uid="{00000000-0005-0000-0000-0000F1040000}"/>
    <cellStyle name="Millares 2 2 2" xfId="1263" xr:uid="{00000000-0005-0000-0000-0000F2040000}"/>
    <cellStyle name="Millares 2 2 3" xfId="1264" xr:uid="{00000000-0005-0000-0000-0000F3040000}"/>
    <cellStyle name="Millares 2 2 4" xfId="1265" xr:uid="{00000000-0005-0000-0000-0000F4040000}"/>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3" xfId="1273" xr:uid="{00000000-0005-0000-0000-0000FC040000}"/>
    <cellStyle name="Millares 3 2" xfId="1274" xr:uid="{00000000-0005-0000-0000-0000FD040000}"/>
    <cellStyle name="Millares 3 3" xfId="1275" xr:uid="{00000000-0005-0000-0000-0000FE040000}"/>
    <cellStyle name="Millares 4" xfId="1276" xr:uid="{00000000-0005-0000-0000-0000FF040000}"/>
    <cellStyle name="Millares 4 2" xfId="1277" xr:uid="{00000000-0005-0000-0000-000000050000}"/>
    <cellStyle name="Millares 4 2 2" xfId="1278" xr:uid="{00000000-0005-0000-0000-000001050000}"/>
    <cellStyle name="Millares 4 2 2 2" xfId="1279" xr:uid="{00000000-0005-0000-0000-000002050000}"/>
    <cellStyle name="Millares 4 3" xfId="1280" xr:uid="{00000000-0005-0000-0000-000003050000}"/>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1" xfId="1449" xr:uid="{00000000-0005-0000-0000-0000AD050000}"/>
    <cellStyle name="Notas 12" xfId="1450" xr:uid="{00000000-0005-0000-0000-0000AE050000}"/>
    <cellStyle name="Notas 13" xfId="1451" xr:uid="{00000000-0005-0000-0000-0000AF050000}"/>
    <cellStyle name="Notas 14" xfId="1452" xr:uid="{00000000-0005-0000-0000-0000B0050000}"/>
    <cellStyle name="Notas 15" xfId="1453" xr:uid="{00000000-0005-0000-0000-0000B1050000}"/>
    <cellStyle name="Notas 16" xfId="1454" xr:uid="{00000000-0005-0000-0000-0000B2050000}"/>
    <cellStyle name="Notas 17" xfId="1455" xr:uid="{00000000-0005-0000-0000-0000B3050000}"/>
    <cellStyle name="Notas 18" xfId="1456" xr:uid="{00000000-0005-0000-0000-0000B4050000}"/>
    <cellStyle name="Notas 19" xfId="1457" xr:uid="{00000000-0005-0000-0000-0000B5050000}"/>
    <cellStyle name="Notas 2" xfId="1458" xr:uid="{00000000-0005-0000-0000-0000B6050000}"/>
    <cellStyle name="Notas 2 2" xfId="1459" xr:uid="{00000000-0005-0000-0000-0000B7050000}"/>
    <cellStyle name="Notas 2 3" xfId="1460" xr:uid="{00000000-0005-0000-0000-0000B8050000}"/>
    <cellStyle name="Notas 2 4" xfId="1461" xr:uid="{00000000-0005-0000-0000-0000B9050000}"/>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4" xfId="1466" xr:uid="{00000000-0005-0000-0000-0000BE050000}"/>
    <cellStyle name="Notas 5" xfId="1467" xr:uid="{00000000-0005-0000-0000-0000BF050000}"/>
    <cellStyle name="Notas 6" xfId="1468" xr:uid="{00000000-0005-0000-0000-0000C0050000}"/>
    <cellStyle name="Notas 7" xfId="1469" xr:uid="{00000000-0005-0000-0000-0000C1050000}"/>
    <cellStyle name="Notas 8" xfId="1470" xr:uid="{00000000-0005-0000-0000-0000C2050000}"/>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1" xfId="1503" xr:uid="{00000000-0005-0000-0000-0000E3050000}"/>
    <cellStyle name="Salida 12" xfId="1504" xr:uid="{00000000-0005-0000-0000-0000E4050000}"/>
    <cellStyle name="Salida 13" xfId="1505" xr:uid="{00000000-0005-0000-0000-0000E5050000}"/>
    <cellStyle name="Salida 14" xfId="1506" xr:uid="{00000000-0005-0000-0000-0000E6050000}"/>
    <cellStyle name="Salida 15" xfId="1507" xr:uid="{00000000-0005-0000-0000-0000E7050000}"/>
    <cellStyle name="Salida 16" xfId="1508" xr:uid="{00000000-0005-0000-0000-0000E8050000}"/>
    <cellStyle name="Salida 17" xfId="1509" xr:uid="{00000000-0005-0000-0000-0000E9050000}"/>
    <cellStyle name="Salida 18" xfId="1510" xr:uid="{00000000-0005-0000-0000-0000EA050000}"/>
    <cellStyle name="Salida 2" xfId="1511" xr:uid="{00000000-0005-0000-0000-0000EB050000}"/>
    <cellStyle name="Salida 3" xfId="1512" xr:uid="{00000000-0005-0000-0000-0000EC050000}"/>
    <cellStyle name="Salida 4" xfId="1513" xr:uid="{00000000-0005-0000-0000-0000ED050000}"/>
    <cellStyle name="Salida 5" xfId="1514" xr:uid="{00000000-0005-0000-0000-0000EE050000}"/>
    <cellStyle name="Salida 6" xfId="1515" xr:uid="{00000000-0005-0000-0000-0000EF050000}"/>
    <cellStyle name="Salida 7" xfId="1516" xr:uid="{00000000-0005-0000-0000-0000F0050000}"/>
    <cellStyle name="Salida 8" xfId="1517" xr:uid="{00000000-0005-0000-0000-0000F1050000}"/>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0.05</c:v>
                </c:pt>
                <c:pt idx="1">
                  <c:v>0.123</c:v>
                </c:pt>
                <c:pt idx="2">
                  <c:v>7.3999999999999996E-2</c:v>
                </c:pt>
                <c:pt idx="3">
                  <c:v>5.3000000000000005E-2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0.05</c:v>
                </c:pt>
                <c:pt idx="1">
                  <c:v>0.05</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0.00%</c:formatCode>
                <c:ptCount val="12"/>
                <c:pt idx="0">
                  <c:v>0.125</c:v>
                </c:pt>
                <c:pt idx="1">
                  <c:v>0.25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2.4999900000000002E-2</c:v>
                </c:pt>
                <c:pt idx="1">
                  <c:v>2.4999900000000002E-2</c:v>
                </c:pt>
                <c:pt idx="2">
                  <c:v>2.4999900000000002E-2</c:v>
                </c:pt>
                <c:pt idx="3">
                  <c:v>2.4999900000000002E-2</c:v>
                </c:pt>
                <c:pt idx="4">
                  <c:v>2.4999900000000002E-2</c:v>
                </c:pt>
                <c:pt idx="5">
                  <c:v>2.4999900000000002E-2</c:v>
                </c:pt>
                <c:pt idx="6">
                  <c:v>2.4999900000000002E-2</c:v>
                </c:pt>
                <c:pt idx="7">
                  <c:v>2.4999900000000002E-2</c:v>
                </c:pt>
                <c:pt idx="8">
                  <c:v>2.4999900000000002E-2</c:v>
                </c:pt>
                <c:pt idx="9">
                  <c:v>2.4999900000000002E-2</c:v>
                </c:pt>
                <c:pt idx="10">
                  <c:v>2.4999900000000002E-2</c:v>
                </c:pt>
                <c:pt idx="11">
                  <c:v>2.4999900000000002E-2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#,##0.000_);_(* \(#,##0.000\);_(* "-"??_);_(@_)</c:formatCode>
                <c:ptCount val="12"/>
                <c:pt idx="0">
                  <c:v>2.4999900000000002E-2</c:v>
                </c:pt>
                <c:pt idx="1">
                  <c:v>2.4999900000000002E-2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0.00%</c:formatCode>
                <c:ptCount val="12"/>
                <c:pt idx="0">
                  <c:v>8.3333000000000004E-2</c:v>
                </c:pt>
                <c:pt idx="1">
                  <c:v>0.16666600000000001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2.7600000000000003E-2</c:v>
                </c:pt>
                <c:pt idx="1">
                  <c:v>1.72E-2</c:v>
                </c:pt>
                <c:pt idx="2">
                  <c:v>1.84E-2</c:v>
                </c:pt>
                <c:pt idx="3">
                  <c:v>3.04E-2</c:v>
                </c:pt>
                <c:pt idx="4">
                  <c:v>1.72E-2</c:v>
                </c:pt>
                <c:pt idx="5">
                  <c:v>1.84E-2</c:v>
                </c:pt>
                <c:pt idx="6">
                  <c:v>3.04E-2</c:v>
                </c:pt>
                <c:pt idx="7">
                  <c:v>2.7200000000000002E-2</c:v>
                </c:pt>
                <c:pt idx="8">
                  <c:v>6.2400000000000004E-2</c:v>
                </c:pt>
                <c:pt idx="9">
                  <c:v>9.3200000000000005E-2</c:v>
                </c:pt>
                <c:pt idx="10">
                  <c:v>3.7600000000000001E-2</c:v>
                </c:pt>
                <c:pt idx="11">
                  <c:v>2.0000000000000004E-2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2.7600000000000003E-2</c:v>
                </c:pt>
                <c:pt idx="1">
                  <c:v>1.72E-2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6.9000000000000006E-2</c:v>
                </c:pt>
                <c:pt idx="1">
                  <c:v>0.112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7.41</c:v>
                </c:pt>
                <c:pt idx="1">
                  <c:v>0.99</c:v>
                </c:pt>
                <c:pt idx="2">
                  <c:v>0.81</c:v>
                </c:pt>
                <c:pt idx="3">
                  <c:v>6</c:v>
                </c:pt>
                <c:pt idx="4">
                  <c:v>1.5899999999999999</c:v>
                </c:pt>
                <c:pt idx="5">
                  <c:v>0.81</c:v>
                </c:pt>
                <c:pt idx="6">
                  <c:v>0.81</c:v>
                </c:pt>
                <c:pt idx="7">
                  <c:v>3</c:v>
                </c:pt>
                <c:pt idx="8">
                  <c:v>1.5899999999999999</c:v>
                </c:pt>
                <c:pt idx="9">
                  <c:v>2.0100000000000002</c:v>
                </c:pt>
                <c:pt idx="10">
                  <c:v>0.75</c:v>
                </c:pt>
                <c:pt idx="11">
                  <c:v>4.2299999999999995</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7.41</c:v>
                </c:pt>
                <c:pt idx="1">
                  <c:v>0.99</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0.247</c:v>
                </c:pt>
                <c:pt idx="1">
                  <c:v>0.28000000000000003</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0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2.5020000000000001E-2</c:v>
                </c:pt>
                <c:pt idx="9">
                  <c:v>2.5020000000000001E-2</c:v>
                </c:pt>
                <c:pt idx="10">
                  <c:v>2.5020000000000001E-2</c:v>
                </c:pt>
                <c:pt idx="11">
                  <c:v>2.5020000000000001E-2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0">
                  <c:v>2.4900000000000002E-2</c:v>
                </c:pt>
                <c:pt idx="1">
                  <c:v>2.4900000000000002E-2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0.00%</c:formatCode>
                <c:ptCount val="12"/>
                <c:pt idx="0">
                  <c:v>8.3000000000000004E-2</c:v>
                </c:pt>
                <c:pt idx="1">
                  <c:v>0.16600000000000001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2.5000000000000005E-2"/>
          <c:min val="0"/>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#,##0.000_);_(* \(#,##0.000\);_(* "-"??_);_(@_)</c:formatCode>
                <c:ptCount val="12"/>
                <c:pt idx="0">
                  <c:v>2.52E-2</c:v>
                </c:pt>
                <c:pt idx="1">
                  <c:v>2.52E-2</c:v>
                </c:pt>
                <c:pt idx="2">
                  <c:v>2.52E-2</c:v>
                </c:pt>
                <c:pt idx="3">
                  <c:v>2.52E-2</c:v>
                </c:pt>
                <c:pt idx="4">
                  <c:v>2.52E-2</c:v>
                </c:pt>
                <c:pt idx="5">
                  <c:v>2.52E-2</c:v>
                </c:pt>
                <c:pt idx="6">
                  <c:v>2.52E-2</c:v>
                </c:pt>
                <c:pt idx="7">
                  <c:v>2.52E-2</c:v>
                </c:pt>
                <c:pt idx="8">
                  <c:v>2.52E-2</c:v>
                </c:pt>
                <c:pt idx="9">
                  <c:v>2.52E-2</c:v>
                </c:pt>
                <c:pt idx="10">
                  <c:v>2.52E-2</c:v>
                </c:pt>
                <c:pt idx="11">
                  <c:v>2.52E-2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#,##0.000_);_(* \(#,##0.000\);_(* "-"??_);_(@_)</c:formatCode>
                <c:ptCount val="12"/>
                <c:pt idx="0">
                  <c:v>2.52E-2</c:v>
                </c:pt>
                <c:pt idx="1">
                  <c:v>2.4015599999999998E-2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0.00%</c:formatCode>
                <c:ptCount val="12"/>
                <c:pt idx="0">
                  <c:v>8.4000000000000005E-2</c:v>
                </c:pt>
                <c:pt idx="1">
                  <c:v>0.164052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majorUnit val="1.0000000000000002E-3"/>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0.000</c:formatCode>
                <c:ptCount val="12"/>
                <c:pt idx="0">
                  <c:v>4.4400000000000004E-3</c:v>
                </c:pt>
                <c:pt idx="1">
                  <c:v>3.2748636363636299E-2</c:v>
                </c:pt>
                <c:pt idx="2">
                  <c:v>4.1987036363636404E-2</c:v>
                </c:pt>
                <c:pt idx="3">
                  <c:v>4.4748636363636296E-2</c:v>
                </c:pt>
                <c:pt idx="4">
                  <c:v>3.9268636363636499E-2</c:v>
                </c:pt>
                <c:pt idx="5">
                  <c:v>2.8975607792207789E-2</c:v>
                </c:pt>
                <c:pt idx="6">
                  <c:v>2.5357207792207799E-2</c:v>
                </c:pt>
                <c:pt idx="7">
                  <c:v>2.4157207792207799E-2</c:v>
                </c:pt>
                <c:pt idx="8">
                  <c:v>2.07156077922078E-2</c:v>
                </c:pt>
                <c:pt idx="9">
                  <c:v>1.7332207792207798E-2</c:v>
                </c:pt>
                <c:pt idx="10">
                  <c:v>1.0132207792207798E-2</c:v>
                </c:pt>
                <c:pt idx="11">
                  <c:v>1.0132207792207798E-2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0.000</c:formatCode>
                <c:ptCount val="12"/>
                <c:pt idx="0">
                  <c:v>4.4400000000000004E-3</c:v>
                </c:pt>
                <c:pt idx="1">
                  <c:v>2.3148599999999998E-2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0.00%</c:formatCode>
                <c:ptCount val="12"/>
                <c:pt idx="0">
                  <c:v>1.4800000000000002E-2</c:v>
                </c:pt>
                <c:pt idx="1">
                  <c:v>9.1962000000000002E-2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17930</xdr:colOff>
      <xdr:row>39</xdr:row>
      <xdr:rowOff>6722</xdr:rowOff>
    </xdr:from>
    <xdr:to>
      <xdr:col>9</xdr:col>
      <xdr:colOff>31376</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9</xdr:col>
      <xdr:colOff>32657</xdr:colOff>
      <xdr:row>44</xdr:row>
      <xdr:rowOff>21772</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67234</xdr:colOff>
      <xdr:row>39</xdr:row>
      <xdr:rowOff>33618</xdr:rowOff>
    </xdr:from>
    <xdr:to>
      <xdr:col>9</xdr:col>
      <xdr:colOff>56028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381000</xdr:colOff>
      <xdr:row>39</xdr:row>
      <xdr:rowOff>133350</xdr:rowOff>
    </xdr:from>
    <xdr:to>
      <xdr:col>7</xdr:col>
      <xdr:colOff>64294</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8965</xdr:colOff>
      <xdr:row>38</xdr:row>
      <xdr:rowOff>654422</xdr:rowOff>
    </xdr:from>
    <xdr:to>
      <xdr:col>9</xdr:col>
      <xdr:colOff>11655</xdr:colOff>
      <xdr:row>44</xdr:row>
      <xdr:rowOff>8964</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8963</xdr:colOff>
      <xdr:row>38</xdr:row>
      <xdr:rowOff>654424</xdr:rowOff>
    </xdr:from>
    <xdr:to>
      <xdr:col>9</xdr:col>
      <xdr:colOff>11653</xdr:colOff>
      <xdr:row>44</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20\IDPYBA\7550\7550%20FORTALECI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NDRES/Documents/CARPETAANDRES/2021/FEBRERO/Respuestaincial/7555Y7560/7555%20Hoja%20del%20indicador%202021%20-%20INIC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indicadores"/>
      <sheetName val="Proyecto 7550"/>
      <sheetName val="Cadena de valor SUIFP Forta F"/>
    </sheetNames>
    <sheetDataSet>
      <sheetData sheetId="0"/>
      <sheetData sheetId="1">
        <row r="9">
          <cell r="N9" t="str">
            <v>Realizar diagnóstico e implementación de cargas laborales del Instituto Distrital de Protección y Bienestar Animal</v>
          </cell>
        </row>
        <row r="13">
          <cell r="N13" t="str">
            <v>Fortalecer los canales de comunicación</v>
          </cell>
        </row>
        <row r="34">
          <cell r="N34" t="str">
            <v>Implementar el Modelo Integrado de Planeación y Gestión- MIPG</v>
          </cell>
        </row>
        <row r="53">
          <cell r="E53" t="str">
            <v>Realizar el fortalecimiento institucional de la estructura orgánica y funcional de la SDA, IDIGER, JBB, E IDPYBA</v>
          </cell>
        </row>
        <row r="60">
          <cell r="N60" t="str">
            <v>Realizar un diagnostico de fortalecimiento institucional que cumpla con las necesidades de los procesos transversales del IDPYBA</v>
          </cell>
        </row>
      </sheetData>
      <sheetData sheetId="2">
        <row r="9">
          <cell r="R9">
            <v>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0.85546875" style="74"/>
  </cols>
  <sheetData>
    <row r="2" spans="1:67" s="118" customFormat="1" ht="45.75" customHeight="1" x14ac:dyDescent="0.25">
      <c r="A2" s="294"/>
      <c r="B2" s="294"/>
      <c r="C2" s="291" t="s">
        <v>24</v>
      </c>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321"/>
    </row>
    <row r="3" spans="1:67" s="118" customFormat="1" ht="45.75" customHeight="1" x14ac:dyDescent="0.25">
      <c r="A3" s="294"/>
      <c r="B3" s="294"/>
      <c r="C3" s="291" t="s">
        <v>25</v>
      </c>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322"/>
    </row>
    <row r="4" spans="1:67" s="118" customFormat="1" ht="45.75" customHeight="1" x14ac:dyDescent="0.25">
      <c r="A4" s="294"/>
      <c r="B4" s="294"/>
      <c r="C4" s="291" t="s">
        <v>198</v>
      </c>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322"/>
    </row>
    <row r="5" spans="1:67" s="118" customFormat="1" ht="45.75" customHeight="1" x14ac:dyDescent="0.25">
      <c r="A5" s="294"/>
      <c r="B5" s="294"/>
      <c r="C5" s="301" t="s">
        <v>29</v>
      </c>
      <c r="D5" s="301"/>
      <c r="E5" s="301"/>
      <c r="F5" s="301"/>
      <c r="G5" s="301"/>
      <c r="H5" s="301"/>
      <c r="I5" s="301"/>
      <c r="J5" s="301"/>
      <c r="K5" s="301"/>
      <c r="L5" s="301"/>
      <c r="M5" s="301"/>
      <c r="N5" s="301"/>
      <c r="O5" s="301"/>
      <c r="P5" s="301"/>
      <c r="Q5" s="301"/>
      <c r="R5" s="319" t="s">
        <v>189</v>
      </c>
      <c r="S5" s="319"/>
      <c r="T5" s="319"/>
      <c r="U5" s="319"/>
      <c r="V5" s="319"/>
      <c r="W5" s="319"/>
      <c r="X5" s="319"/>
      <c r="Y5" s="319"/>
      <c r="Z5" s="319"/>
      <c r="AA5" s="319"/>
      <c r="AB5" s="319"/>
      <c r="AC5" s="319"/>
      <c r="AD5" s="319"/>
      <c r="AE5" s="319"/>
      <c r="AF5" s="323"/>
    </row>
    <row r="6" spans="1:67" s="119" customFormat="1" ht="30.75" customHeight="1" x14ac:dyDescent="0.25">
      <c r="D6" s="120"/>
      <c r="K6" s="121"/>
      <c r="AA6" s="122"/>
    </row>
    <row r="7" spans="1:67" s="119" customFormat="1" ht="42" customHeight="1" x14ac:dyDescent="0.25">
      <c r="B7" s="123" t="s">
        <v>32</v>
      </c>
      <c r="C7" s="293" t="e">
        <f>+#REF!</f>
        <v>#REF!</v>
      </c>
      <c r="D7" s="293"/>
      <c r="E7" s="293"/>
      <c r="F7" s="293"/>
      <c r="G7" s="293"/>
      <c r="K7" s="121"/>
      <c r="AA7" s="122"/>
    </row>
    <row r="8" spans="1:67" s="119" customFormat="1" ht="42" customHeight="1" x14ac:dyDescent="0.25">
      <c r="B8" s="123" t="s">
        <v>1</v>
      </c>
      <c r="C8" s="293" t="e">
        <f>+#REF!</f>
        <v>#REF!</v>
      </c>
      <c r="D8" s="293"/>
      <c r="E8" s="293"/>
      <c r="F8" s="293"/>
      <c r="G8" s="293"/>
      <c r="K8" s="121"/>
      <c r="AA8" s="122"/>
    </row>
    <row r="9" spans="1:67" s="119" customFormat="1" ht="42" customHeight="1" x14ac:dyDescent="0.25">
      <c r="B9" s="124" t="s">
        <v>30</v>
      </c>
      <c r="C9" s="293" t="e">
        <f>+#REF!</f>
        <v>#REF!</v>
      </c>
      <c r="D9" s="293"/>
      <c r="E9" s="293"/>
      <c r="F9" s="293"/>
      <c r="G9" s="293"/>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310" t="str">
        <f>+'[1]Sección 1. Metas - Magnitud'!B13</f>
        <v>PLAN DE DESARROLLO - BOGOTÁ MEJOR PARA TODOS 2016-2020</v>
      </c>
      <c r="B11" s="311"/>
      <c r="C11" s="311"/>
      <c r="D11" s="311"/>
      <c r="E11" s="311"/>
      <c r="F11" s="311"/>
      <c r="G11" s="311"/>
      <c r="H11" s="312"/>
      <c r="I11" s="325" t="s">
        <v>36</v>
      </c>
      <c r="J11" s="326"/>
      <c r="K11" s="326"/>
      <c r="L11" s="326"/>
      <c r="M11" s="326"/>
      <c r="N11" s="327"/>
      <c r="O11" s="320" t="s">
        <v>38</v>
      </c>
      <c r="P11" s="320"/>
      <c r="Q11" s="320"/>
      <c r="R11" s="320"/>
      <c r="S11" s="320"/>
      <c r="T11" s="320"/>
      <c r="U11" s="320"/>
      <c r="V11" s="320"/>
      <c r="W11" s="320"/>
      <c r="X11" s="320"/>
      <c r="Y11" s="320"/>
      <c r="Z11" s="320"/>
      <c r="AA11" s="320"/>
      <c r="AB11" s="320"/>
      <c r="AC11" s="320"/>
      <c r="AD11" s="310" t="s">
        <v>18</v>
      </c>
      <c r="AE11" s="311"/>
      <c r="AF11" s="312"/>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92" t="s">
        <v>154</v>
      </c>
      <c r="B13" s="292" t="str">
        <f>+'[2]Sección 1. Metas - Magnitud'!I15</f>
        <v>Demarcar 2.600 kilómetro carril de vías</v>
      </c>
      <c r="C13" s="292">
        <v>224</v>
      </c>
      <c r="D13" s="292" t="s">
        <v>187</v>
      </c>
      <c r="E13" s="292">
        <v>171</v>
      </c>
      <c r="F13" s="324" t="s">
        <v>175</v>
      </c>
      <c r="G13" s="292" t="s">
        <v>152</v>
      </c>
      <c r="H13" s="292" t="s">
        <v>70</v>
      </c>
      <c r="I13" s="302" t="e">
        <f>SUM(J13:N14)</f>
        <v>#REF!</v>
      </c>
      <c r="J13" s="299" t="e">
        <f>+#REF!</f>
        <v>#REF!</v>
      </c>
      <c r="K13" s="328" t="e">
        <f>+#REF!</f>
        <v>#REF!</v>
      </c>
      <c r="L13" s="297" t="e">
        <f>+#REF!</f>
        <v>#REF!</v>
      </c>
      <c r="M13" s="299" t="e">
        <f>+#REF!</f>
        <v>#REF!</v>
      </c>
      <c r="N13" s="299" t="e">
        <f>+#REF!</f>
        <v>#REF!</v>
      </c>
      <c r="O13" s="303" t="e">
        <f>+#REF!</f>
        <v>#REF!</v>
      </c>
      <c r="P13" s="303">
        <v>6.45</v>
      </c>
      <c r="Q13" s="303">
        <v>31.03</v>
      </c>
      <c r="R13" s="303"/>
      <c r="S13" s="303" t="e">
        <f>+#REF!</f>
        <v>#REF!</v>
      </c>
      <c r="T13" s="303" t="e">
        <f>+#REF!</f>
        <v>#REF!</v>
      </c>
      <c r="U13" s="303" t="e">
        <f>+#REF!</f>
        <v>#REF!</v>
      </c>
      <c r="V13" s="303" t="e">
        <f>+#REF!</f>
        <v>#REF!</v>
      </c>
      <c r="W13" s="303" t="e">
        <f>+#REF!</f>
        <v>#REF!</v>
      </c>
      <c r="X13" s="303" t="e">
        <f>+#REF!</f>
        <v>#REF!</v>
      </c>
      <c r="Y13" s="303" t="e">
        <f>+#REF!</f>
        <v>#REF!</v>
      </c>
      <c r="Z13" s="303" t="e">
        <f>+#REF!</f>
        <v>#REF!</v>
      </c>
      <c r="AA13" s="308" t="e">
        <f>SUM(O13:Z14)</f>
        <v>#REF!</v>
      </c>
      <c r="AB13" s="305" t="e">
        <f>+AA13/K13</f>
        <v>#REF!</v>
      </c>
      <c r="AC13" s="305" t="e">
        <f>+(J13+AA13)/I13</f>
        <v>#REF!</v>
      </c>
      <c r="AD13" s="306" t="s">
        <v>219</v>
      </c>
      <c r="AE13" s="295" t="s">
        <v>223</v>
      </c>
      <c r="AF13" s="306"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92"/>
      <c r="B14" s="292"/>
      <c r="C14" s="292"/>
      <c r="D14" s="292"/>
      <c r="E14" s="292"/>
      <c r="F14" s="324"/>
      <c r="G14" s="292"/>
      <c r="H14" s="292"/>
      <c r="I14" s="302"/>
      <c r="J14" s="300"/>
      <c r="K14" s="329"/>
      <c r="L14" s="298"/>
      <c r="M14" s="300"/>
      <c r="N14" s="300"/>
      <c r="O14" s="304"/>
      <c r="P14" s="304"/>
      <c r="Q14" s="304"/>
      <c r="R14" s="304"/>
      <c r="S14" s="304"/>
      <c r="T14" s="304"/>
      <c r="U14" s="304"/>
      <c r="V14" s="304"/>
      <c r="W14" s="304"/>
      <c r="X14" s="304"/>
      <c r="Y14" s="304"/>
      <c r="Z14" s="304"/>
      <c r="AA14" s="309"/>
      <c r="AB14" s="305"/>
      <c r="AC14" s="305"/>
      <c r="AD14" s="307"/>
      <c r="AE14" s="296"/>
      <c r="AF14" s="307"/>
    </row>
    <row r="15" spans="1:67" ht="89.25" customHeight="1" x14ac:dyDescent="0.25">
      <c r="A15" s="292" t="s">
        <v>154</v>
      </c>
      <c r="B15" s="292" t="str">
        <f>+'[2]Sección 1. Metas - Magnitud'!I18</f>
        <v>Instalar 35.000 señales verticales de pedestal</v>
      </c>
      <c r="C15" s="292">
        <v>223</v>
      </c>
      <c r="D15" s="292" t="s">
        <v>188</v>
      </c>
      <c r="E15" s="292">
        <v>170</v>
      </c>
      <c r="F15" s="324" t="s">
        <v>174</v>
      </c>
      <c r="G15" s="292" t="s">
        <v>152</v>
      </c>
      <c r="H15" s="292" t="s">
        <v>70</v>
      </c>
      <c r="I15" s="302" t="e">
        <f>SUM(J15:N16)</f>
        <v>#REF!</v>
      </c>
      <c r="J15" s="317" t="e">
        <f>+#REF!</f>
        <v>#REF!</v>
      </c>
      <c r="K15" s="313" t="e">
        <f>+#REF!</f>
        <v>#REF!</v>
      </c>
      <c r="L15" s="315" t="e">
        <f>+#REF!</f>
        <v>#REF!</v>
      </c>
      <c r="M15" s="317" t="e">
        <f>+#REF!</f>
        <v>#REF!</v>
      </c>
      <c r="N15" s="317" t="e">
        <f>+#REF!</f>
        <v>#REF!</v>
      </c>
      <c r="O15" s="303">
        <v>53</v>
      </c>
      <c r="P15" s="303">
        <v>712</v>
      </c>
      <c r="Q15" s="303">
        <v>881</v>
      </c>
      <c r="R15" s="303"/>
      <c r="S15" s="303" t="e">
        <f>+#REF!</f>
        <v>#REF!</v>
      </c>
      <c r="T15" s="303" t="e">
        <f>+#REF!</f>
        <v>#REF!</v>
      </c>
      <c r="U15" s="303" t="e">
        <f>+#REF!</f>
        <v>#REF!</v>
      </c>
      <c r="V15" s="303" t="e">
        <f>+#REF!</f>
        <v>#REF!</v>
      </c>
      <c r="W15" s="303" t="e">
        <f>+#REF!</f>
        <v>#REF!</v>
      </c>
      <c r="X15" s="303" t="e">
        <f>+#REF!</f>
        <v>#REF!</v>
      </c>
      <c r="Y15" s="303" t="e">
        <f>+#REF!</f>
        <v>#REF!</v>
      </c>
      <c r="Z15" s="303" t="e">
        <f>+#REF!</f>
        <v>#REF!</v>
      </c>
      <c r="AA15" s="308" t="e">
        <f>SUM(O15:Z16)</f>
        <v>#REF!</v>
      </c>
      <c r="AB15" s="305" t="e">
        <f>+AA15/K15</f>
        <v>#REF!</v>
      </c>
      <c r="AC15" s="305" t="e">
        <f>+(J15+AA15)/I15</f>
        <v>#REF!</v>
      </c>
      <c r="AD15" s="306" t="s">
        <v>221</v>
      </c>
      <c r="AE15" s="295" t="s">
        <v>223</v>
      </c>
      <c r="AF15" s="306" t="s">
        <v>222</v>
      </c>
    </row>
    <row r="16" spans="1:67" ht="140.25" customHeight="1" x14ac:dyDescent="0.25">
      <c r="A16" s="292"/>
      <c r="B16" s="292"/>
      <c r="C16" s="292"/>
      <c r="D16" s="292"/>
      <c r="E16" s="292"/>
      <c r="F16" s="324"/>
      <c r="G16" s="292"/>
      <c r="H16" s="292"/>
      <c r="I16" s="302"/>
      <c r="J16" s="318"/>
      <c r="K16" s="314"/>
      <c r="L16" s="316"/>
      <c r="M16" s="318"/>
      <c r="N16" s="318"/>
      <c r="O16" s="304"/>
      <c r="P16" s="304"/>
      <c r="Q16" s="304"/>
      <c r="R16" s="304"/>
      <c r="S16" s="304"/>
      <c r="T16" s="304"/>
      <c r="U16" s="304"/>
      <c r="V16" s="304"/>
      <c r="W16" s="304"/>
      <c r="X16" s="304"/>
      <c r="Y16" s="304"/>
      <c r="Z16" s="304"/>
      <c r="AA16" s="309"/>
      <c r="AB16" s="305"/>
      <c r="AC16" s="305"/>
      <c r="AD16" s="307"/>
      <c r="AE16" s="296"/>
      <c r="AF16" s="307"/>
    </row>
    <row r="17" spans="1:32" ht="62.25" customHeight="1" x14ac:dyDescent="0.25">
      <c r="A17" s="292" t="s">
        <v>154</v>
      </c>
      <c r="B17" s="348" t="str">
        <f>+'[2]Sección 1. Metas - Magnitud'!I45</f>
        <v>Realizar el 100% de las actividades para la segunda fase del Sistema Inteligente de Tranporte - SIT</v>
      </c>
      <c r="C17" s="292">
        <v>231</v>
      </c>
      <c r="D17" s="292" t="s">
        <v>176</v>
      </c>
      <c r="E17" s="292">
        <v>178</v>
      </c>
      <c r="F17" s="324" t="s">
        <v>177</v>
      </c>
      <c r="G17" s="292" t="s">
        <v>151</v>
      </c>
      <c r="H17" s="292" t="s">
        <v>70</v>
      </c>
      <c r="I17" s="330">
        <f>SUM(J17:N18)</f>
        <v>1</v>
      </c>
      <c r="J17" s="359">
        <v>0.05</v>
      </c>
      <c r="K17" s="346">
        <v>0.28999999999999998</v>
      </c>
      <c r="L17" s="349">
        <v>0.25</v>
      </c>
      <c r="M17" s="346">
        <v>0.4</v>
      </c>
      <c r="N17" s="346">
        <v>0.01</v>
      </c>
      <c r="O17" s="351">
        <v>0.19</v>
      </c>
      <c r="P17" s="352"/>
      <c r="Q17" s="352"/>
      <c r="R17" s="355">
        <v>0</v>
      </c>
      <c r="S17" s="356"/>
      <c r="T17" s="356"/>
      <c r="U17" s="334">
        <v>0</v>
      </c>
      <c r="V17" s="335"/>
      <c r="W17" s="335"/>
      <c r="X17" s="334">
        <v>0</v>
      </c>
      <c r="Y17" s="335"/>
      <c r="Z17" s="335"/>
      <c r="AA17" s="338">
        <f>+R17+O17+U17+X17</f>
        <v>0.19</v>
      </c>
      <c r="AB17" s="305">
        <f>+AA17/K17</f>
        <v>0.65517241379310354</v>
      </c>
      <c r="AC17" s="305">
        <f>+(J17+AA17)/I17</f>
        <v>0.24</v>
      </c>
      <c r="AD17" s="332" t="s">
        <v>224</v>
      </c>
      <c r="AE17" s="295" t="s">
        <v>223</v>
      </c>
      <c r="AF17" s="332" t="s">
        <v>225</v>
      </c>
    </row>
    <row r="18" spans="1:32" ht="200.25" customHeight="1" x14ac:dyDescent="0.25">
      <c r="A18" s="292"/>
      <c r="B18" s="348"/>
      <c r="C18" s="292"/>
      <c r="D18" s="292"/>
      <c r="E18" s="292"/>
      <c r="F18" s="324"/>
      <c r="G18" s="292"/>
      <c r="H18" s="292"/>
      <c r="I18" s="331"/>
      <c r="J18" s="360"/>
      <c r="K18" s="347"/>
      <c r="L18" s="350"/>
      <c r="M18" s="347"/>
      <c r="N18" s="347"/>
      <c r="O18" s="353"/>
      <c r="P18" s="354"/>
      <c r="Q18" s="354"/>
      <c r="R18" s="357"/>
      <c r="S18" s="358"/>
      <c r="T18" s="358"/>
      <c r="U18" s="336"/>
      <c r="V18" s="337"/>
      <c r="W18" s="337"/>
      <c r="X18" s="336"/>
      <c r="Y18" s="337"/>
      <c r="Z18" s="337"/>
      <c r="AA18" s="339"/>
      <c r="AB18" s="305"/>
      <c r="AC18" s="305"/>
      <c r="AD18" s="333"/>
      <c r="AE18" s="296"/>
      <c r="AF18" s="333"/>
    </row>
    <row r="19" spans="1:32" ht="62.25" customHeight="1" x14ac:dyDescent="0.25">
      <c r="A19" s="292" t="s">
        <v>154</v>
      </c>
      <c r="B19" s="348" t="str">
        <f>+'[2]Sección 1. Metas - Magnitud'!I48</f>
        <v>Realizar el 100% de las actividades para la segunda fase de Semáforos Inteligentes.</v>
      </c>
      <c r="C19" s="292">
        <v>232</v>
      </c>
      <c r="D19" s="292" t="s">
        <v>178</v>
      </c>
      <c r="E19" s="292">
        <v>179</v>
      </c>
      <c r="F19" s="324" t="s">
        <v>179</v>
      </c>
      <c r="G19" s="292" t="s">
        <v>151</v>
      </c>
      <c r="H19" s="292" t="s">
        <v>70</v>
      </c>
      <c r="I19" s="330">
        <f>SUM(J19:N20)</f>
        <v>1</v>
      </c>
      <c r="J19" s="359">
        <v>0.01</v>
      </c>
      <c r="K19" s="346">
        <v>0.15</v>
      </c>
      <c r="L19" s="349">
        <v>0.42</v>
      </c>
      <c r="M19" s="346">
        <v>0.42</v>
      </c>
      <c r="N19" s="346">
        <v>0</v>
      </c>
      <c r="O19" s="342">
        <v>0.35</v>
      </c>
      <c r="P19" s="343"/>
      <c r="Q19" s="343"/>
      <c r="R19" s="351">
        <v>0</v>
      </c>
      <c r="S19" s="352"/>
      <c r="T19" s="352"/>
      <c r="U19" s="342">
        <v>0</v>
      </c>
      <c r="V19" s="343"/>
      <c r="W19" s="343"/>
      <c r="X19" s="342">
        <v>0</v>
      </c>
      <c r="Y19" s="343"/>
      <c r="Z19" s="343"/>
      <c r="AA19" s="340">
        <f>+R19+O19+U19+X19</f>
        <v>0.35</v>
      </c>
      <c r="AB19" s="305">
        <f>+AA19/K19</f>
        <v>2.3333333333333335</v>
      </c>
      <c r="AC19" s="305">
        <f>+(J19+AA19)/I19</f>
        <v>0.36</v>
      </c>
      <c r="AD19" s="332" t="s">
        <v>227</v>
      </c>
      <c r="AE19" s="295" t="s">
        <v>223</v>
      </c>
      <c r="AF19" s="332" t="s">
        <v>225</v>
      </c>
    </row>
    <row r="20" spans="1:32" ht="298.5" customHeight="1" x14ac:dyDescent="0.25">
      <c r="A20" s="292"/>
      <c r="B20" s="348"/>
      <c r="C20" s="292"/>
      <c r="D20" s="292"/>
      <c r="E20" s="292"/>
      <c r="F20" s="324"/>
      <c r="G20" s="292"/>
      <c r="H20" s="292"/>
      <c r="I20" s="331"/>
      <c r="J20" s="360"/>
      <c r="K20" s="347"/>
      <c r="L20" s="350"/>
      <c r="M20" s="347"/>
      <c r="N20" s="347"/>
      <c r="O20" s="344"/>
      <c r="P20" s="345"/>
      <c r="Q20" s="345"/>
      <c r="R20" s="353"/>
      <c r="S20" s="354"/>
      <c r="T20" s="354"/>
      <c r="U20" s="344"/>
      <c r="V20" s="345"/>
      <c r="W20" s="345"/>
      <c r="X20" s="344"/>
      <c r="Y20" s="345"/>
      <c r="Z20" s="345"/>
      <c r="AA20" s="341"/>
      <c r="AB20" s="305"/>
      <c r="AC20" s="305"/>
      <c r="AD20" s="333"/>
      <c r="AE20" s="296"/>
      <c r="AF20" s="333"/>
    </row>
    <row r="21" spans="1:32" ht="62.25" customHeight="1" x14ac:dyDescent="0.25">
      <c r="A21" s="292" t="s">
        <v>154</v>
      </c>
      <c r="B21" s="348" t="str">
        <f>+'[2]Sección 1. Metas - Magnitud'!I51</f>
        <v>Realizar el 100% de las actividades para la primera fase de Detección Electrónica DEI</v>
      </c>
      <c r="C21" s="292">
        <v>233</v>
      </c>
      <c r="D21" s="292" t="s">
        <v>180</v>
      </c>
      <c r="E21" s="292">
        <v>180</v>
      </c>
      <c r="F21" s="324" t="s">
        <v>181</v>
      </c>
      <c r="G21" s="292" t="s">
        <v>151</v>
      </c>
      <c r="H21" s="292" t="s">
        <v>70</v>
      </c>
      <c r="I21" s="330">
        <f>SUM(J21:N22)</f>
        <v>1</v>
      </c>
      <c r="J21" s="359">
        <v>0.01</v>
      </c>
      <c r="K21" s="346">
        <v>0.1</v>
      </c>
      <c r="L21" s="349">
        <v>0.3</v>
      </c>
      <c r="M21" s="346">
        <v>0.55000000000000004</v>
      </c>
      <c r="N21" s="346">
        <v>0.04</v>
      </c>
      <c r="O21" s="342">
        <v>4.4999999999999998E-2</v>
      </c>
      <c r="P21" s="343"/>
      <c r="Q21" s="343"/>
      <c r="R21" s="342">
        <v>0</v>
      </c>
      <c r="S21" s="343"/>
      <c r="T21" s="343"/>
      <c r="U21" s="342">
        <v>0</v>
      </c>
      <c r="V21" s="343"/>
      <c r="W21" s="343"/>
      <c r="X21" s="342">
        <v>0</v>
      </c>
      <c r="Y21" s="343"/>
      <c r="Z21" s="343"/>
      <c r="AA21" s="340">
        <f>+R21+O21+U21+X21</f>
        <v>4.4999999999999998E-2</v>
      </c>
      <c r="AB21" s="305">
        <f>+AA21/K21</f>
        <v>0.44999999999999996</v>
      </c>
      <c r="AC21" s="305">
        <f>+(J21+AA21)/I21</f>
        <v>5.5E-2</v>
      </c>
      <c r="AD21" s="332" t="s">
        <v>228</v>
      </c>
      <c r="AE21" s="295" t="s">
        <v>223</v>
      </c>
      <c r="AF21" s="332" t="s">
        <v>225</v>
      </c>
    </row>
    <row r="22" spans="1:32" ht="124.5" customHeight="1" x14ac:dyDescent="0.25">
      <c r="A22" s="292"/>
      <c r="B22" s="348"/>
      <c r="C22" s="292"/>
      <c r="D22" s="292"/>
      <c r="E22" s="292"/>
      <c r="F22" s="324"/>
      <c r="G22" s="292"/>
      <c r="H22" s="292"/>
      <c r="I22" s="331"/>
      <c r="J22" s="360"/>
      <c r="K22" s="347"/>
      <c r="L22" s="350"/>
      <c r="M22" s="347"/>
      <c r="N22" s="347"/>
      <c r="O22" s="344"/>
      <c r="P22" s="345"/>
      <c r="Q22" s="345"/>
      <c r="R22" s="344"/>
      <c r="S22" s="345"/>
      <c r="T22" s="345"/>
      <c r="U22" s="344"/>
      <c r="V22" s="345"/>
      <c r="W22" s="345"/>
      <c r="X22" s="344"/>
      <c r="Y22" s="345"/>
      <c r="Z22" s="345"/>
      <c r="AA22" s="341"/>
      <c r="AB22" s="305"/>
      <c r="AC22" s="305"/>
      <c r="AD22" s="333"/>
      <c r="AE22" s="296"/>
      <c r="AF22" s="33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63"/>
      <c r="C2" s="361" t="s">
        <v>24</v>
      </c>
      <c r="D2" s="361"/>
      <c r="E2" s="361"/>
      <c r="F2" s="361"/>
      <c r="G2" s="361"/>
      <c r="H2" s="361"/>
      <c r="I2" s="365"/>
      <c r="J2" s="13"/>
      <c r="K2" s="13"/>
      <c r="M2" s="14" t="s">
        <v>47</v>
      </c>
    </row>
    <row r="3" spans="2:14" ht="25.5" customHeight="1" x14ac:dyDescent="0.2">
      <c r="B3" s="364"/>
      <c r="C3" s="362" t="s">
        <v>25</v>
      </c>
      <c r="D3" s="362"/>
      <c r="E3" s="362"/>
      <c r="F3" s="362"/>
      <c r="G3" s="362"/>
      <c r="H3" s="362"/>
      <c r="I3" s="366"/>
      <c r="J3" s="13"/>
      <c r="K3" s="13"/>
      <c r="M3" s="14" t="s">
        <v>48</v>
      </c>
    </row>
    <row r="4" spans="2:14" ht="25.5" customHeight="1" x14ac:dyDescent="0.2">
      <c r="B4" s="364"/>
      <c r="C4" s="362" t="s">
        <v>49</v>
      </c>
      <c r="D4" s="362"/>
      <c r="E4" s="362"/>
      <c r="F4" s="362"/>
      <c r="G4" s="362"/>
      <c r="H4" s="362"/>
      <c r="I4" s="366"/>
      <c r="J4" s="13"/>
      <c r="K4" s="13"/>
      <c r="M4" s="14" t="s">
        <v>50</v>
      </c>
    </row>
    <row r="5" spans="2:14" ht="25.5" customHeight="1" x14ac:dyDescent="0.2">
      <c r="B5" s="364"/>
      <c r="C5" s="362" t="s">
        <v>51</v>
      </c>
      <c r="D5" s="362"/>
      <c r="E5" s="362"/>
      <c r="F5" s="362"/>
      <c r="G5" s="367" t="s">
        <v>52</v>
      </c>
      <c r="H5" s="367"/>
      <c r="I5" s="366"/>
      <c r="J5" s="13"/>
      <c r="K5" s="13"/>
      <c r="M5" s="14" t="s">
        <v>53</v>
      </c>
    </row>
    <row r="6" spans="2:14" ht="23.25" customHeight="1" x14ac:dyDescent="0.2">
      <c r="B6" s="368" t="s">
        <v>54</v>
      </c>
      <c r="C6" s="369"/>
      <c r="D6" s="369"/>
      <c r="E6" s="369"/>
      <c r="F6" s="369"/>
      <c r="G6" s="369"/>
      <c r="H6" s="369"/>
      <c r="I6" s="370"/>
      <c r="J6" s="15"/>
      <c r="K6" s="15"/>
    </row>
    <row r="7" spans="2:14" ht="24" customHeight="1" x14ac:dyDescent="0.2">
      <c r="B7" s="371" t="s">
        <v>55</v>
      </c>
      <c r="C7" s="372"/>
      <c r="D7" s="372"/>
      <c r="E7" s="372"/>
      <c r="F7" s="372"/>
      <c r="G7" s="372"/>
      <c r="H7" s="372"/>
      <c r="I7" s="373"/>
      <c r="J7" s="16"/>
      <c r="K7" s="16"/>
    </row>
    <row r="8" spans="2:14" ht="24" customHeight="1" x14ac:dyDescent="0.2">
      <c r="B8" s="374" t="s">
        <v>56</v>
      </c>
      <c r="C8" s="375"/>
      <c r="D8" s="375"/>
      <c r="E8" s="375"/>
      <c r="F8" s="375"/>
      <c r="G8" s="375"/>
      <c r="H8" s="375"/>
      <c r="I8" s="376"/>
      <c r="J8" s="58"/>
      <c r="K8" s="58"/>
      <c r="N8" s="6" t="s">
        <v>57</v>
      </c>
    </row>
    <row r="9" spans="2:14" ht="30.75" customHeight="1" x14ac:dyDescent="0.2">
      <c r="B9" s="113" t="s">
        <v>58</v>
      </c>
      <c r="C9" s="59">
        <v>231</v>
      </c>
      <c r="D9" s="382" t="s">
        <v>59</v>
      </c>
      <c r="E9" s="382"/>
      <c r="F9" s="383" t="s">
        <v>201</v>
      </c>
      <c r="G9" s="384"/>
      <c r="H9" s="384"/>
      <c r="I9" s="385"/>
      <c r="J9" s="17"/>
      <c r="K9" s="17"/>
      <c r="M9" s="14" t="s">
        <v>60</v>
      </c>
      <c r="N9" s="6" t="s">
        <v>61</v>
      </c>
    </row>
    <row r="10" spans="2:14" ht="30.75" customHeight="1" x14ac:dyDescent="0.2">
      <c r="B10" s="20" t="s">
        <v>62</v>
      </c>
      <c r="C10" s="60" t="s">
        <v>81</v>
      </c>
      <c r="D10" s="386" t="s">
        <v>63</v>
      </c>
      <c r="E10" s="387"/>
      <c r="F10" s="377" t="s">
        <v>155</v>
      </c>
      <c r="G10" s="378"/>
      <c r="H10" s="18" t="s">
        <v>64</v>
      </c>
      <c r="I10" s="115" t="s">
        <v>81</v>
      </c>
      <c r="J10" s="19"/>
      <c r="K10" s="19"/>
      <c r="M10" s="14" t="s">
        <v>65</v>
      </c>
      <c r="N10" s="6" t="s">
        <v>66</v>
      </c>
    </row>
    <row r="11" spans="2:14" ht="30.75" customHeight="1" x14ac:dyDescent="0.2">
      <c r="B11" s="20" t="s">
        <v>67</v>
      </c>
      <c r="C11" s="379" t="s">
        <v>156</v>
      </c>
      <c r="D11" s="379"/>
      <c r="E11" s="379"/>
      <c r="F11" s="379"/>
      <c r="G11" s="18" t="s">
        <v>68</v>
      </c>
      <c r="H11" s="380">
        <v>1032</v>
      </c>
      <c r="I11" s="381"/>
      <c r="J11" s="21"/>
      <c r="K11" s="21"/>
      <c r="M11" s="14" t="s">
        <v>69</v>
      </c>
      <c r="N11" s="6" t="s">
        <v>70</v>
      </c>
    </row>
    <row r="12" spans="2:14" ht="30.75" customHeight="1" x14ac:dyDescent="0.2">
      <c r="B12" s="20" t="s">
        <v>71</v>
      </c>
      <c r="C12" s="388" t="s">
        <v>65</v>
      </c>
      <c r="D12" s="388"/>
      <c r="E12" s="388"/>
      <c r="F12" s="388"/>
      <c r="G12" s="18" t="s">
        <v>72</v>
      </c>
      <c r="H12" s="389" t="s">
        <v>157</v>
      </c>
      <c r="I12" s="390"/>
      <c r="J12" s="22"/>
      <c r="K12" s="22"/>
      <c r="M12" s="23" t="s">
        <v>73</v>
      </c>
    </row>
    <row r="13" spans="2:14" ht="30.75" customHeight="1" x14ac:dyDescent="0.2">
      <c r="B13" s="20" t="s">
        <v>74</v>
      </c>
      <c r="C13" s="391" t="s">
        <v>45</v>
      </c>
      <c r="D13" s="391"/>
      <c r="E13" s="391"/>
      <c r="F13" s="391"/>
      <c r="G13" s="391"/>
      <c r="H13" s="391"/>
      <c r="I13" s="392"/>
      <c r="J13" s="24"/>
      <c r="K13" s="24"/>
      <c r="M13" s="23"/>
    </row>
    <row r="14" spans="2:14" ht="30.75" customHeight="1" x14ac:dyDescent="0.2">
      <c r="B14" s="20" t="s">
        <v>75</v>
      </c>
      <c r="C14" s="377" t="s">
        <v>202</v>
      </c>
      <c r="D14" s="378"/>
      <c r="E14" s="378"/>
      <c r="F14" s="378"/>
      <c r="G14" s="378"/>
      <c r="H14" s="378"/>
      <c r="I14" s="393"/>
      <c r="J14" s="19"/>
      <c r="K14" s="19"/>
      <c r="M14" s="23"/>
      <c r="N14" s="6" t="s">
        <v>76</v>
      </c>
    </row>
    <row r="15" spans="2:14" ht="30.75" customHeight="1" x14ac:dyDescent="0.2">
      <c r="B15" s="20" t="s">
        <v>77</v>
      </c>
      <c r="C15" s="394" t="s">
        <v>203</v>
      </c>
      <c r="D15" s="394"/>
      <c r="E15" s="394"/>
      <c r="F15" s="394"/>
      <c r="G15" s="18" t="s">
        <v>78</v>
      </c>
      <c r="H15" s="395" t="s">
        <v>91</v>
      </c>
      <c r="I15" s="396"/>
      <c r="J15" s="19"/>
      <c r="K15" s="19"/>
      <c r="M15" s="23" t="s">
        <v>80</v>
      </c>
      <c r="N15" s="6" t="s">
        <v>81</v>
      </c>
    </row>
    <row r="16" spans="2:14" ht="30.75" customHeight="1" x14ac:dyDescent="0.2">
      <c r="B16" s="20" t="s">
        <v>82</v>
      </c>
      <c r="C16" s="397" t="s">
        <v>215</v>
      </c>
      <c r="D16" s="398"/>
      <c r="E16" s="398"/>
      <c r="F16" s="398"/>
      <c r="G16" s="18" t="s">
        <v>83</v>
      </c>
      <c r="H16" s="395" t="s">
        <v>70</v>
      </c>
      <c r="I16" s="396"/>
      <c r="J16" s="19"/>
      <c r="K16" s="19"/>
      <c r="M16" s="23" t="s">
        <v>84</v>
      </c>
    </row>
    <row r="17" spans="2:14" ht="36" customHeight="1" x14ac:dyDescent="0.2">
      <c r="B17" s="20" t="s">
        <v>85</v>
      </c>
      <c r="C17" s="391" t="s">
        <v>204</v>
      </c>
      <c r="D17" s="391"/>
      <c r="E17" s="391"/>
      <c r="F17" s="391"/>
      <c r="G17" s="391"/>
      <c r="H17" s="391"/>
      <c r="I17" s="392"/>
      <c r="J17" s="24"/>
      <c r="K17" s="24"/>
      <c r="M17" s="23" t="s">
        <v>86</v>
      </c>
      <c r="N17" s="6" t="s">
        <v>39</v>
      </c>
    </row>
    <row r="18" spans="2:14" ht="30.75" customHeight="1" x14ac:dyDescent="0.2">
      <c r="B18" s="20" t="s">
        <v>87</v>
      </c>
      <c r="C18" s="394" t="s">
        <v>163</v>
      </c>
      <c r="D18" s="394"/>
      <c r="E18" s="394"/>
      <c r="F18" s="394"/>
      <c r="G18" s="394"/>
      <c r="H18" s="394"/>
      <c r="I18" s="399"/>
      <c r="J18" s="25"/>
      <c r="K18" s="25"/>
      <c r="M18" s="23" t="s">
        <v>88</v>
      </c>
      <c r="N18" s="6" t="s">
        <v>40</v>
      </c>
    </row>
    <row r="19" spans="2:14" ht="30.75" customHeight="1" x14ac:dyDescent="0.2">
      <c r="B19" s="20" t="s">
        <v>89</v>
      </c>
      <c r="C19" s="394" t="s">
        <v>159</v>
      </c>
      <c r="D19" s="394"/>
      <c r="E19" s="394"/>
      <c r="F19" s="394"/>
      <c r="G19" s="394"/>
      <c r="H19" s="394"/>
      <c r="I19" s="399"/>
      <c r="J19" s="26"/>
      <c r="K19" s="26"/>
      <c r="M19" s="23"/>
      <c r="N19" s="6" t="s">
        <v>41</v>
      </c>
    </row>
    <row r="20" spans="2:14" ht="30.75" customHeight="1" x14ac:dyDescent="0.2">
      <c r="B20" s="20" t="s">
        <v>90</v>
      </c>
      <c r="C20" s="400" t="s">
        <v>151</v>
      </c>
      <c r="D20" s="400"/>
      <c r="E20" s="400"/>
      <c r="F20" s="400"/>
      <c r="G20" s="400"/>
      <c r="H20" s="400"/>
      <c r="I20" s="401"/>
      <c r="J20" s="27"/>
      <c r="K20" s="27"/>
      <c r="M20" s="23" t="s">
        <v>91</v>
      </c>
      <c r="N20" s="6" t="s">
        <v>42</v>
      </c>
    </row>
    <row r="21" spans="2:14" ht="27.75" customHeight="1" x14ac:dyDescent="0.2">
      <c r="B21" s="402" t="s">
        <v>92</v>
      </c>
      <c r="C21" s="404" t="s">
        <v>93</v>
      </c>
      <c r="D21" s="404"/>
      <c r="E21" s="404"/>
      <c r="F21" s="405" t="s">
        <v>94</v>
      </c>
      <c r="G21" s="405"/>
      <c r="H21" s="405"/>
      <c r="I21" s="406"/>
      <c r="J21" s="28"/>
      <c r="K21" s="28"/>
      <c r="M21" s="23" t="s">
        <v>79</v>
      </c>
      <c r="N21" s="6" t="s">
        <v>43</v>
      </c>
    </row>
    <row r="22" spans="2:14" ht="27" customHeight="1" x14ac:dyDescent="0.2">
      <c r="B22" s="403"/>
      <c r="C22" s="394" t="s">
        <v>160</v>
      </c>
      <c r="D22" s="394"/>
      <c r="E22" s="394"/>
      <c r="F22" s="394" t="s">
        <v>161</v>
      </c>
      <c r="G22" s="394"/>
      <c r="H22" s="394"/>
      <c r="I22" s="399"/>
      <c r="J22" s="26"/>
      <c r="K22" s="26"/>
      <c r="M22" s="23" t="s">
        <v>95</v>
      </c>
      <c r="N22" s="6" t="s">
        <v>44</v>
      </c>
    </row>
    <row r="23" spans="2:14" ht="39.75" customHeight="1" x14ac:dyDescent="0.2">
      <c r="B23" s="20" t="s">
        <v>96</v>
      </c>
      <c r="C23" s="395" t="s">
        <v>151</v>
      </c>
      <c r="D23" s="395"/>
      <c r="E23" s="395"/>
      <c r="F23" s="395" t="s">
        <v>151</v>
      </c>
      <c r="G23" s="395"/>
      <c r="H23" s="395"/>
      <c r="I23" s="396"/>
      <c r="J23" s="19"/>
      <c r="K23" s="19"/>
      <c r="M23" s="23"/>
      <c r="N23" s="6" t="s">
        <v>45</v>
      </c>
    </row>
    <row r="24" spans="2:14" ht="44.25" customHeight="1" x14ac:dyDescent="0.2">
      <c r="B24" s="20" t="s">
        <v>97</v>
      </c>
      <c r="C24" s="416" t="s">
        <v>205</v>
      </c>
      <c r="D24" s="417"/>
      <c r="E24" s="418"/>
      <c r="F24" s="383" t="s">
        <v>206</v>
      </c>
      <c r="G24" s="384"/>
      <c r="H24" s="384"/>
      <c r="I24" s="385"/>
      <c r="J24" s="25"/>
      <c r="K24" s="25"/>
      <c r="M24" s="29"/>
      <c r="N24" s="6" t="s">
        <v>46</v>
      </c>
    </row>
    <row r="25" spans="2:14" ht="29.25" customHeight="1" x14ac:dyDescent="0.2">
      <c r="B25" s="20" t="s">
        <v>98</v>
      </c>
      <c r="C25" s="419" t="s">
        <v>215</v>
      </c>
      <c r="D25" s="420"/>
      <c r="E25" s="421"/>
      <c r="F25" s="18" t="s">
        <v>99</v>
      </c>
      <c r="G25" s="422">
        <v>0.3</v>
      </c>
      <c r="H25" s="423"/>
      <c r="I25" s="424"/>
      <c r="J25" s="30"/>
      <c r="K25" s="30"/>
      <c r="M25" s="29"/>
    </row>
    <row r="26" spans="2:14" ht="27" customHeight="1" x14ac:dyDescent="0.2">
      <c r="B26" s="20" t="s">
        <v>100</v>
      </c>
      <c r="C26" s="383" t="s">
        <v>216</v>
      </c>
      <c r="D26" s="384"/>
      <c r="E26" s="425"/>
      <c r="F26" s="18" t="s">
        <v>101</v>
      </c>
      <c r="G26" s="426">
        <v>0.3</v>
      </c>
      <c r="H26" s="427"/>
      <c r="I26" s="428"/>
      <c r="J26" s="31"/>
      <c r="K26" s="31"/>
      <c r="M26" s="29"/>
    </row>
    <row r="27" spans="2:14" ht="47.25" customHeight="1" x14ac:dyDescent="0.2">
      <c r="B27" s="112" t="s">
        <v>102</v>
      </c>
      <c r="C27" s="429" t="s">
        <v>86</v>
      </c>
      <c r="D27" s="430"/>
      <c r="E27" s="431"/>
      <c r="F27" s="32" t="s">
        <v>103</v>
      </c>
      <c r="G27" s="426" t="s">
        <v>182</v>
      </c>
      <c r="H27" s="427"/>
      <c r="I27" s="428"/>
      <c r="J27" s="28"/>
      <c r="K27" s="28"/>
      <c r="M27" s="29"/>
    </row>
    <row r="28" spans="2:14" ht="30" customHeight="1" x14ac:dyDescent="0.2">
      <c r="B28" s="432" t="s">
        <v>104</v>
      </c>
      <c r="C28" s="433"/>
      <c r="D28" s="433"/>
      <c r="E28" s="433"/>
      <c r="F28" s="433"/>
      <c r="G28" s="433"/>
      <c r="H28" s="433"/>
      <c r="I28" s="43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435" t="s">
        <v>224</v>
      </c>
      <c r="D42" s="435"/>
      <c r="E42" s="435"/>
      <c r="F42" s="435"/>
      <c r="G42" s="435"/>
      <c r="H42" s="435"/>
      <c r="I42" s="436"/>
      <c r="J42" s="39"/>
      <c r="K42" s="39"/>
    </row>
    <row r="43" spans="2:11" ht="29.25" customHeight="1" x14ac:dyDescent="0.2">
      <c r="B43" s="432" t="s">
        <v>126</v>
      </c>
      <c r="C43" s="433"/>
      <c r="D43" s="433"/>
      <c r="E43" s="433"/>
      <c r="F43" s="433"/>
      <c r="G43" s="433"/>
      <c r="H43" s="433"/>
      <c r="I43" s="434"/>
      <c r="J43" s="58"/>
      <c r="K43" s="58"/>
    </row>
    <row r="44" spans="2:11" ht="32.25" customHeight="1" x14ac:dyDescent="0.2">
      <c r="B44" s="407"/>
      <c r="C44" s="408"/>
      <c r="D44" s="408"/>
      <c r="E44" s="408"/>
      <c r="F44" s="408"/>
      <c r="G44" s="408"/>
      <c r="H44" s="408"/>
      <c r="I44" s="409"/>
      <c r="J44" s="58"/>
      <c r="K44" s="58"/>
    </row>
    <row r="45" spans="2:11" ht="32.25" customHeight="1" x14ac:dyDescent="0.2">
      <c r="B45" s="410"/>
      <c r="C45" s="411"/>
      <c r="D45" s="411"/>
      <c r="E45" s="411"/>
      <c r="F45" s="411"/>
      <c r="G45" s="411"/>
      <c r="H45" s="411"/>
      <c r="I45" s="412"/>
      <c r="J45" s="39"/>
      <c r="K45" s="39"/>
    </row>
    <row r="46" spans="2:11" ht="32.25" customHeight="1" x14ac:dyDescent="0.2">
      <c r="B46" s="410"/>
      <c r="C46" s="411"/>
      <c r="D46" s="411"/>
      <c r="E46" s="411"/>
      <c r="F46" s="411"/>
      <c r="G46" s="411"/>
      <c r="H46" s="411"/>
      <c r="I46" s="412"/>
      <c r="J46" s="39"/>
      <c r="K46" s="39"/>
    </row>
    <row r="47" spans="2:11" ht="32.25" customHeight="1" x14ac:dyDescent="0.2">
      <c r="B47" s="410"/>
      <c r="C47" s="411"/>
      <c r="D47" s="411"/>
      <c r="E47" s="411"/>
      <c r="F47" s="411"/>
      <c r="G47" s="411"/>
      <c r="H47" s="411"/>
      <c r="I47" s="412"/>
      <c r="J47" s="39"/>
      <c r="K47" s="39"/>
    </row>
    <row r="48" spans="2:11" ht="32.25" customHeight="1" x14ac:dyDescent="0.2">
      <c r="B48" s="413"/>
      <c r="C48" s="414"/>
      <c r="D48" s="414"/>
      <c r="E48" s="414"/>
      <c r="F48" s="414"/>
      <c r="G48" s="414"/>
      <c r="H48" s="414"/>
      <c r="I48" s="415"/>
      <c r="J48" s="40"/>
      <c r="K48" s="40"/>
    </row>
    <row r="49" spans="2:11" ht="83.25" customHeight="1" x14ac:dyDescent="0.2">
      <c r="B49" s="20" t="s">
        <v>127</v>
      </c>
      <c r="C49" s="435" t="s">
        <v>224</v>
      </c>
      <c r="D49" s="435"/>
      <c r="E49" s="435"/>
      <c r="F49" s="435"/>
      <c r="G49" s="435"/>
      <c r="H49" s="435"/>
      <c r="I49" s="436"/>
      <c r="J49" s="41"/>
      <c r="K49" s="41"/>
    </row>
    <row r="50" spans="2:11" ht="34.5" customHeight="1" x14ac:dyDescent="0.2">
      <c r="B50" s="20" t="s">
        <v>128</v>
      </c>
      <c r="C50" s="437" t="s">
        <v>182</v>
      </c>
      <c r="D50" s="437"/>
      <c r="E50" s="437"/>
      <c r="F50" s="437"/>
      <c r="G50" s="437"/>
      <c r="H50" s="437"/>
      <c r="I50" s="438"/>
      <c r="J50" s="41"/>
      <c r="K50" s="41"/>
    </row>
    <row r="51" spans="2:11" ht="34.5" customHeight="1" x14ac:dyDescent="0.2">
      <c r="B51" s="114" t="s">
        <v>129</v>
      </c>
      <c r="C51" s="439" t="s">
        <v>225</v>
      </c>
      <c r="D51" s="440"/>
      <c r="E51" s="440"/>
      <c r="F51" s="440"/>
      <c r="G51" s="440"/>
      <c r="H51" s="440"/>
      <c r="I51" s="441"/>
      <c r="J51" s="41"/>
      <c r="K51" s="41"/>
    </row>
    <row r="52" spans="2:11" ht="29.25" customHeight="1" x14ac:dyDescent="0.2">
      <c r="B52" s="432" t="s">
        <v>130</v>
      </c>
      <c r="C52" s="433"/>
      <c r="D52" s="433"/>
      <c r="E52" s="433"/>
      <c r="F52" s="433"/>
      <c r="G52" s="433"/>
      <c r="H52" s="433"/>
      <c r="I52" s="434"/>
      <c r="J52" s="41"/>
      <c r="K52" s="41"/>
    </row>
    <row r="53" spans="2:11" ht="33" customHeight="1" x14ac:dyDescent="0.2">
      <c r="B53" s="442" t="s">
        <v>131</v>
      </c>
      <c r="C53" s="111" t="s">
        <v>132</v>
      </c>
      <c r="D53" s="443" t="s">
        <v>133</v>
      </c>
      <c r="E53" s="443"/>
      <c r="F53" s="443"/>
      <c r="G53" s="443" t="s">
        <v>134</v>
      </c>
      <c r="H53" s="443"/>
      <c r="I53" s="444"/>
      <c r="J53" s="42"/>
      <c r="K53" s="42"/>
    </row>
    <row r="54" spans="2:11" ht="31.5" customHeight="1" x14ac:dyDescent="0.2">
      <c r="B54" s="442"/>
      <c r="C54" s="43"/>
      <c r="D54" s="437"/>
      <c r="E54" s="437"/>
      <c r="F54" s="437"/>
      <c r="G54" s="445"/>
      <c r="H54" s="445"/>
      <c r="I54" s="446"/>
      <c r="J54" s="42"/>
      <c r="K54" s="42"/>
    </row>
    <row r="55" spans="2:11" ht="31.5" customHeight="1" x14ac:dyDescent="0.2">
      <c r="B55" s="114" t="s">
        <v>135</v>
      </c>
      <c r="C55" s="458" t="s">
        <v>164</v>
      </c>
      <c r="D55" s="458"/>
      <c r="E55" s="459" t="s">
        <v>136</v>
      </c>
      <c r="F55" s="459"/>
      <c r="G55" s="458" t="s">
        <v>186</v>
      </c>
      <c r="H55" s="458"/>
      <c r="I55" s="460"/>
      <c r="J55" s="44"/>
      <c r="K55" s="44"/>
    </row>
    <row r="56" spans="2:11" ht="31.5" customHeight="1" x14ac:dyDescent="0.2">
      <c r="B56" s="114" t="s">
        <v>137</v>
      </c>
      <c r="C56" s="437" t="str">
        <f>+'[3]HV 1'!C56:D56</f>
        <v>NICOLAS ADOLFO CORREAL HUERTAS</v>
      </c>
      <c r="D56" s="437"/>
      <c r="E56" s="461" t="s">
        <v>138</v>
      </c>
      <c r="F56" s="461"/>
      <c r="G56" s="458" t="str">
        <f>+'[4]HV 1'!G56:I56</f>
        <v>DIANA VIDAL</v>
      </c>
      <c r="H56" s="458"/>
      <c r="I56" s="460"/>
      <c r="J56" s="44"/>
      <c r="K56" s="44"/>
    </row>
    <row r="57" spans="2:11" ht="31.5" customHeight="1" x14ac:dyDescent="0.2">
      <c r="B57" s="114" t="s">
        <v>139</v>
      </c>
      <c r="C57" s="437"/>
      <c r="D57" s="437"/>
      <c r="E57" s="447" t="s">
        <v>140</v>
      </c>
      <c r="F57" s="448"/>
      <c r="G57" s="451"/>
      <c r="H57" s="452"/>
      <c r="I57" s="453"/>
      <c r="J57" s="45"/>
      <c r="K57" s="45"/>
    </row>
    <row r="58" spans="2:11" ht="31.5" customHeight="1" thickBot="1" x14ac:dyDescent="0.25">
      <c r="B58" s="78" t="s">
        <v>141</v>
      </c>
      <c r="C58" s="457"/>
      <c r="D58" s="457"/>
      <c r="E58" s="449"/>
      <c r="F58" s="450"/>
      <c r="G58" s="454"/>
      <c r="H58" s="455"/>
      <c r="I58" s="456"/>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66"/>
      <c r="C1" s="469" t="s">
        <v>24</v>
      </c>
      <c r="D1" s="470"/>
      <c r="E1" s="470"/>
      <c r="F1" s="470"/>
      <c r="G1" s="470"/>
      <c r="H1" s="471"/>
      <c r="I1" s="472"/>
      <c r="J1" s="473"/>
    </row>
    <row r="2" spans="2:13" ht="18" customHeight="1" thickBot="1" x14ac:dyDescent="0.3">
      <c r="B2" s="467"/>
      <c r="C2" s="478" t="s">
        <v>25</v>
      </c>
      <c r="D2" s="479"/>
      <c r="E2" s="479"/>
      <c r="F2" s="479"/>
      <c r="G2" s="479"/>
      <c r="H2" s="480"/>
      <c r="I2" s="474"/>
      <c r="J2" s="475"/>
    </row>
    <row r="3" spans="2:13" ht="18" customHeight="1" thickBot="1" x14ac:dyDescent="0.3">
      <c r="B3" s="467"/>
      <c r="C3" s="478" t="s">
        <v>142</v>
      </c>
      <c r="D3" s="479"/>
      <c r="E3" s="479"/>
      <c r="F3" s="479"/>
      <c r="G3" s="479"/>
      <c r="H3" s="480"/>
      <c r="I3" s="474"/>
      <c r="J3" s="475"/>
    </row>
    <row r="4" spans="2:13" ht="18" customHeight="1" thickBot="1" x14ac:dyDescent="0.3">
      <c r="B4" s="468"/>
      <c r="C4" s="478" t="s">
        <v>143</v>
      </c>
      <c r="D4" s="479"/>
      <c r="E4" s="479"/>
      <c r="F4" s="480"/>
      <c r="G4" s="481" t="s">
        <v>190</v>
      </c>
      <c r="H4" s="482"/>
      <c r="I4" s="476"/>
      <c r="J4" s="477"/>
    </row>
    <row r="5" spans="2:13" ht="18" customHeight="1" thickBot="1" x14ac:dyDescent="0.3">
      <c r="B5" s="51"/>
      <c r="C5" s="52"/>
      <c r="D5" s="52"/>
      <c r="E5" s="52"/>
      <c r="F5" s="52"/>
      <c r="G5" s="52"/>
      <c r="H5" s="52"/>
      <c r="I5" s="52"/>
      <c r="J5" s="53"/>
    </row>
    <row r="6" spans="2:13" ht="51.75" customHeight="1" thickBot="1" x14ac:dyDescent="0.3">
      <c r="B6" s="1" t="s">
        <v>185</v>
      </c>
      <c r="C6" s="485" t="str">
        <f>+'[6]Sección 1. Metas - Magnitud'!C7</f>
        <v>1032 - Gestión y control de tránsito y transporte</v>
      </c>
      <c r="D6" s="486"/>
      <c r="E6" s="487"/>
      <c r="F6" s="54"/>
      <c r="G6" s="52"/>
      <c r="H6" s="52"/>
      <c r="I6" s="52"/>
      <c r="J6" s="53"/>
    </row>
    <row r="7" spans="2:13" ht="32.25" customHeight="1" thickBot="1" x14ac:dyDescent="0.3">
      <c r="B7" s="2" t="s">
        <v>0</v>
      </c>
      <c r="C7" s="485" t="str">
        <f>+'[6]Sección 1. Metas - Magnitud'!C8:F8</f>
        <v>Dirección de Control y Vigilancia</v>
      </c>
      <c r="D7" s="486"/>
      <c r="E7" s="487"/>
      <c r="F7" s="54"/>
      <c r="G7" s="52"/>
      <c r="H7" s="52"/>
      <c r="I7" s="52"/>
      <c r="J7" s="53"/>
    </row>
    <row r="8" spans="2:13" ht="32.25" customHeight="1" thickBot="1" x14ac:dyDescent="0.3">
      <c r="B8" s="2" t="s">
        <v>144</v>
      </c>
      <c r="C8" s="485" t="str">
        <f>+'[6]Sección 1. Metas - Magnitud'!C9:F9</f>
        <v>Subsecretaría de Servicios de la Movilidad</v>
      </c>
      <c r="D8" s="486"/>
      <c r="E8" s="487"/>
      <c r="F8" s="4"/>
      <c r="G8" s="52"/>
      <c r="H8" s="52"/>
      <c r="I8" s="52"/>
      <c r="J8" s="53"/>
    </row>
    <row r="9" spans="2:13" ht="33.75" customHeight="1" thickBot="1" x14ac:dyDescent="0.3">
      <c r="B9" s="2" t="s">
        <v>28</v>
      </c>
      <c r="C9" s="485" t="s">
        <v>184</v>
      </c>
      <c r="D9" s="486"/>
      <c r="E9" s="487"/>
      <c r="F9" s="54"/>
      <c r="G9" s="52"/>
      <c r="H9" s="52"/>
      <c r="I9" s="52"/>
      <c r="J9" s="53"/>
    </row>
    <row r="10" spans="2:13" ht="32.25" customHeight="1" thickBot="1" x14ac:dyDescent="0.3">
      <c r="B10" s="2" t="s">
        <v>197</v>
      </c>
      <c r="C10" s="485" t="s">
        <v>202</v>
      </c>
      <c r="D10" s="486"/>
      <c r="E10" s="487"/>
    </row>
    <row r="12" spans="2:13" x14ac:dyDescent="0.25">
      <c r="B12" s="495" t="s">
        <v>217</v>
      </c>
      <c r="C12" s="496"/>
      <c r="D12" s="496"/>
      <c r="E12" s="496"/>
      <c r="F12" s="496"/>
      <c r="G12" s="496"/>
      <c r="H12" s="497"/>
      <c r="I12" s="489" t="s">
        <v>145</v>
      </c>
      <c r="J12" s="490"/>
      <c r="K12" s="490"/>
    </row>
    <row r="13" spans="2:13" s="56" customFormat="1" ht="30" customHeight="1" x14ac:dyDescent="0.25">
      <c r="B13" s="483" t="s">
        <v>146</v>
      </c>
      <c r="C13" s="483" t="s">
        <v>147</v>
      </c>
      <c r="D13" s="483" t="s">
        <v>196</v>
      </c>
      <c r="E13" s="483" t="s">
        <v>148</v>
      </c>
      <c r="F13" s="483" t="s">
        <v>149</v>
      </c>
      <c r="G13" s="483" t="s">
        <v>191</v>
      </c>
      <c r="H13" s="483" t="s">
        <v>192</v>
      </c>
      <c r="I13" s="491" t="s">
        <v>193</v>
      </c>
      <c r="J13" s="493" t="s">
        <v>194</v>
      </c>
      <c r="K13" s="488" t="s">
        <v>195</v>
      </c>
    </row>
    <row r="14" spans="2:13" s="56" customFormat="1" x14ac:dyDescent="0.25">
      <c r="B14" s="484"/>
      <c r="C14" s="484"/>
      <c r="D14" s="484"/>
      <c r="E14" s="484"/>
      <c r="F14" s="484"/>
      <c r="G14" s="484"/>
      <c r="H14" s="484"/>
      <c r="I14" s="492"/>
      <c r="J14" s="494"/>
      <c r="K14" s="488"/>
    </row>
    <row r="15" spans="2:13" s="56" customFormat="1" ht="120" x14ac:dyDescent="0.25">
      <c r="B15" s="96">
        <v>1</v>
      </c>
      <c r="C15" s="140" t="s">
        <v>229</v>
      </c>
      <c r="D15" s="95">
        <v>0.19</v>
      </c>
      <c r="E15" s="91"/>
      <c r="F15" s="93" t="s">
        <v>230</v>
      </c>
      <c r="G15" s="169">
        <v>0.19</v>
      </c>
      <c r="H15" s="106">
        <v>43160</v>
      </c>
      <c r="I15" s="104">
        <v>0.19</v>
      </c>
      <c r="J15" s="110">
        <v>43132</v>
      </c>
      <c r="K15" s="101"/>
      <c r="M15" s="108"/>
    </row>
    <row r="16" spans="2:13" ht="75" x14ac:dyDescent="0.25">
      <c r="B16" s="139">
        <v>2</v>
      </c>
      <c r="C16" s="102" t="s">
        <v>231</v>
      </c>
      <c r="D16" s="95">
        <v>0.02</v>
      </c>
      <c r="E16" s="91"/>
      <c r="F16" s="93" t="s">
        <v>232</v>
      </c>
      <c r="G16" s="169">
        <v>0.02</v>
      </c>
      <c r="H16" s="106">
        <v>43344</v>
      </c>
      <c r="I16" s="104"/>
      <c r="J16" s="110"/>
      <c r="K16" s="101"/>
      <c r="M16" s="109"/>
    </row>
    <row r="17" spans="2:11" ht="90" x14ac:dyDescent="0.25">
      <c r="B17" s="168">
        <v>3</v>
      </c>
      <c r="C17" s="75" t="s">
        <v>226</v>
      </c>
      <c r="D17" s="95">
        <v>0.04</v>
      </c>
      <c r="E17" s="91"/>
      <c r="F17" s="93" t="s">
        <v>233</v>
      </c>
      <c r="G17" s="169">
        <v>0.04</v>
      </c>
      <c r="H17" s="106">
        <v>43435</v>
      </c>
      <c r="I17" s="104"/>
      <c r="J17" s="110"/>
      <c r="K17" s="101"/>
    </row>
    <row r="18" spans="2:11" x14ac:dyDescent="0.25">
      <c r="B18" s="462" t="s">
        <v>17</v>
      </c>
      <c r="C18" s="463"/>
      <c r="D18" s="57">
        <f>SUM(D15:D17)</f>
        <v>0.25</v>
      </c>
      <c r="E18" s="464" t="s">
        <v>17</v>
      </c>
      <c r="F18" s="465"/>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X60"/>
  <sheetViews>
    <sheetView tabSelected="1" topLeftCell="A4" zoomScale="85" zoomScaleNormal="85" zoomScalePageLayoutView="85" workbookViewId="0">
      <selection activeCell="F6" sqref="F6:I6"/>
    </sheetView>
  </sheetViews>
  <sheetFormatPr baseColWidth="10" defaultColWidth="10.85546875" defaultRowHeight="12.75" x14ac:dyDescent="0.2"/>
  <cols>
    <col min="1" max="1" width="1" style="173" customWidth="1"/>
    <col min="2" max="2" width="25.42578125" style="210" customWidth="1"/>
    <col min="3" max="3" width="14.5703125" style="173" customWidth="1"/>
    <col min="4" max="4" width="15.7109375" style="173" customWidth="1"/>
    <col min="5" max="5" width="23.42578125" style="173" customWidth="1"/>
    <col min="6" max="6" width="20.85546875" style="173" customWidth="1"/>
    <col min="7" max="7" width="19.85546875" style="210" customWidth="1"/>
    <col min="8" max="8" width="19.85546875" style="173" customWidth="1"/>
    <col min="9" max="9" width="16.28515625" style="173" customWidth="1"/>
    <col min="10" max="11" width="22.42578125" style="173" customWidth="1"/>
    <col min="12" max="24" width="10.85546875" style="171"/>
    <col min="25" max="16384" width="10.85546875" style="173"/>
  </cols>
  <sheetData>
    <row r="1" spans="1:15" ht="37.5" customHeight="1" x14ac:dyDescent="0.2">
      <c r="A1" s="284"/>
      <c r="B1" s="498"/>
      <c r="C1" s="501" t="s">
        <v>25</v>
      </c>
      <c r="D1" s="501"/>
      <c r="E1" s="501"/>
      <c r="F1" s="501"/>
      <c r="G1" s="501"/>
      <c r="H1" s="501"/>
      <c r="I1" s="502"/>
      <c r="J1" s="170"/>
      <c r="K1" s="170"/>
      <c r="L1" s="215"/>
      <c r="M1" s="216" t="s">
        <v>47</v>
      </c>
      <c r="N1" s="215"/>
      <c r="O1" s="215"/>
    </row>
    <row r="2" spans="1:15" ht="37.5" customHeight="1" x14ac:dyDescent="0.2">
      <c r="A2" s="285"/>
      <c r="B2" s="499"/>
      <c r="C2" s="505" t="s">
        <v>239</v>
      </c>
      <c r="D2" s="505"/>
      <c r="E2" s="505"/>
      <c r="F2" s="505"/>
      <c r="G2" s="505"/>
      <c r="H2" s="505"/>
      <c r="I2" s="503"/>
      <c r="J2" s="170"/>
      <c r="K2" s="170"/>
      <c r="L2" s="215"/>
      <c r="M2" s="216" t="s">
        <v>48</v>
      </c>
      <c r="N2" s="215"/>
      <c r="O2" s="215"/>
    </row>
    <row r="3" spans="1:15" ht="37.5" customHeight="1" thickBot="1" x14ac:dyDescent="0.25">
      <c r="A3" s="285"/>
      <c r="B3" s="500"/>
      <c r="C3" s="506" t="s">
        <v>240</v>
      </c>
      <c r="D3" s="506"/>
      <c r="E3" s="506"/>
      <c r="F3" s="506" t="s">
        <v>241</v>
      </c>
      <c r="G3" s="506"/>
      <c r="H3" s="506"/>
      <c r="I3" s="504"/>
      <c r="J3" s="170"/>
      <c r="K3" s="170"/>
      <c r="L3" s="215"/>
      <c r="M3" s="216" t="s">
        <v>50</v>
      </c>
      <c r="N3" s="215"/>
      <c r="O3" s="215"/>
    </row>
    <row r="4" spans="1:15" ht="23.25" customHeight="1" x14ac:dyDescent="0.2">
      <c r="A4" s="285"/>
      <c r="B4" s="507"/>
      <c r="C4" s="508"/>
      <c r="D4" s="508"/>
      <c r="E4" s="508"/>
      <c r="F4" s="508"/>
      <c r="G4" s="508"/>
      <c r="H4" s="508"/>
      <c r="I4" s="509"/>
      <c r="J4" s="174"/>
      <c r="K4" s="174"/>
      <c r="L4" s="215"/>
      <c r="M4" s="215"/>
      <c r="N4" s="215"/>
      <c r="O4" s="215"/>
    </row>
    <row r="5" spans="1:15" ht="24" customHeight="1" x14ac:dyDescent="0.2">
      <c r="A5" s="285"/>
      <c r="B5" s="510" t="s">
        <v>234</v>
      </c>
      <c r="C5" s="511"/>
      <c r="D5" s="511"/>
      <c r="E5" s="511"/>
      <c r="F5" s="511"/>
      <c r="G5" s="511"/>
      <c r="H5" s="511"/>
      <c r="I5" s="512"/>
      <c r="J5" s="175"/>
      <c r="K5" s="175"/>
      <c r="L5" s="215"/>
      <c r="M5" s="215"/>
      <c r="N5" s="215" t="s">
        <v>57</v>
      </c>
      <c r="O5" s="215"/>
    </row>
    <row r="6" spans="1:15" ht="30.75" customHeight="1" x14ac:dyDescent="0.2">
      <c r="A6" s="285"/>
      <c r="B6" s="226" t="s">
        <v>242</v>
      </c>
      <c r="C6" s="224">
        <v>1</v>
      </c>
      <c r="D6" s="513" t="s">
        <v>243</v>
      </c>
      <c r="E6" s="513"/>
      <c r="F6" s="514" t="str">
        <f>'[7]Proyecto 7550'!$N$9</f>
        <v>Realizar diagnóstico e implementación de cargas laborales del Instituto Distrital de Protección y Bienestar Animal</v>
      </c>
      <c r="G6" s="514"/>
      <c r="H6" s="514"/>
      <c r="I6" s="515"/>
      <c r="J6" s="177"/>
      <c r="K6" s="177"/>
      <c r="L6" s="215"/>
      <c r="M6" s="216" t="s">
        <v>60</v>
      </c>
      <c r="N6" s="215" t="s">
        <v>61</v>
      </c>
      <c r="O6" s="215"/>
    </row>
    <row r="7" spans="1:15" ht="30.75" customHeight="1" x14ac:dyDescent="0.2">
      <c r="A7" s="285"/>
      <c r="B7" s="226" t="s">
        <v>244</v>
      </c>
      <c r="C7" s="224" t="s">
        <v>81</v>
      </c>
      <c r="D7" s="513" t="s">
        <v>245</v>
      </c>
      <c r="E7" s="513"/>
      <c r="F7" s="516" t="s">
        <v>332</v>
      </c>
      <c r="G7" s="516"/>
      <c r="H7" s="286" t="s">
        <v>246</v>
      </c>
      <c r="I7" s="225" t="s">
        <v>81</v>
      </c>
      <c r="J7" s="179"/>
      <c r="K7" s="179"/>
      <c r="L7" s="215"/>
      <c r="M7" s="216" t="s">
        <v>65</v>
      </c>
      <c r="N7" s="215" t="s">
        <v>66</v>
      </c>
      <c r="O7" s="215"/>
    </row>
    <row r="8" spans="1:15" ht="30.75" customHeight="1" x14ac:dyDescent="0.2">
      <c r="A8" s="285"/>
      <c r="B8" s="226" t="s">
        <v>247</v>
      </c>
      <c r="C8" s="514" t="s">
        <v>289</v>
      </c>
      <c r="D8" s="514"/>
      <c r="E8" s="514"/>
      <c r="F8" s="514"/>
      <c r="G8" s="223" t="s">
        <v>248</v>
      </c>
      <c r="H8" s="519">
        <v>7550</v>
      </c>
      <c r="I8" s="520"/>
      <c r="J8" s="180"/>
      <c r="K8" s="180"/>
      <c r="L8" s="215"/>
      <c r="M8" s="216" t="s">
        <v>69</v>
      </c>
      <c r="N8" s="215" t="s">
        <v>70</v>
      </c>
      <c r="O8" s="215"/>
    </row>
    <row r="9" spans="1:15" ht="30.75" customHeight="1" x14ac:dyDescent="0.2">
      <c r="A9" s="285"/>
      <c r="B9" s="226" t="s">
        <v>48</v>
      </c>
      <c r="C9" s="521" t="s">
        <v>60</v>
      </c>
      <c r="D9" s="521"/>
      <c r="E9" s="521"/>
      <c r="F9" s="521"/>
      <c r="G9" s="223" t="s">
        <v>249</v>
      </c>
      <c r="H9" s="522" t="s">
        <v>290</v>
      </c>
      <c r="I9" s="523"/>
      <c r="J9" s="181"/>
      <c r="K9" s="181"/>
      <c r="L9" s="215"/>
      <c r="M9" s="217" t="s">
        <v>73</v>
      </c>
      <c r="N9" s="215"/>
      <c r="O9" s="215"/>
    </row>
    <row r="10" spans="1:15" ht="39" customHeight="1" x14ac:dyDescent="0.2">
      <c r="A10" s="285"/>
      <c r="B10" s="226" t="s">
        <v>250</v>
      </c>
      <c r="C10" s="514" t="s">
        <v>375</v>
      </c>
      <c r="D10" s="514"/>
      <c r="E10" s="514"/>
      <c r="F10" s="514"/>
      <c r="G10" s="514"/>
      <c r="H10" s="514"/>
      <c r="I10" s="515"/>
      <c r="J10" s="183"/>
      <c r="K10" s="183"/>
      <c r="L10" s="215"/>
      <c r="M10" s="217"/>
      <c r="N10" s="215"/>
      <c r="O10" s="215"/>
    </row>
    <row r="11" spans="1:15" ht="30.75" customHeight="1" x14ac:dyDescent="0.2">
      <c r="A11" s="285"/>
      <c r="B11" s="226" t="s">
        <v>251</v>
      </c>
      <c r="C11" s="524" t="s">
        <v>291</v>
      </c>
      <c r="D11" s="524"/>
      <c r="E11" s="524"/>
      <c r="F11" s="524"/>
      <c r="G11" s="524"/>
      <c r="H11" s="524"/>
      <c r="I11" s="525"/>
      <c r="J11" s="179"/>
      <c r="K11" s="179"/>
      <c r="L11" s="215"/>
      <c r="M11" s="217"/>
      <c r="N11" s="215" t="s">
        <v>76</v>
      </c>
      <c r="O11" s="215"/>
    </row>
    <row r="12" spans="1:15" ht="30.75" customHeight="1" x14ac:dyDescent="0.2">
      <c r="A12" s="285"/>
      <c r="B12" s="226" t="s">
        <v>254</v>
      </c>
      <c r="C12" s="517" t="s">
        <v>319</v>
      </c>
      <c r="D12" s="517"/>
      <c r="E12" s="517"/>
      <c r="F12" s="517"/>
      <c r="G12" s="223" t="s">
        <v>252</v>
      </c>
      <c r="H12" s="526" t="s">
        <v>91</v>
      </c>
      <c r="I12" s="527"/>
      <c r="J12" s="179"/>
      <c r="K12" s="179"/>
      <c r="L12" s="215"/>
      <c r="M12" s="217" t="s">
        <v>80</v>
      </c>
      <c r="N12" s="215" t="s">
        <v>81</v>
      </c>
      <c r="O12" s="215"/>
    </row>
    <row r="13" spans="1:15" ht="30.75" customHeight="1" x14ac:dyDescent="0.2">
      <c r="A13" s="285"/>
      <c r="B13" s="226" t="s">
        <v>255</v>
      </c>
      <c r="C13" s="528" t="s">
        <v>349</v>
      </c>
      <c r="D13" s="528"/>
      <c r="E13" s="528"/>
      <c r="F13" s="528"/>
      <c r="G13" s="223" t="s">
        <v>253</v>
      </c>
      <c r="H13" s="526" t="s">
        <v>70</v>
      </c>
      <c r="I13" s="527"/>
      <c r="J13" s="179"/>
      <c r="K13" s="179"/>
      <c r="L13" s="215"/>
      <c r="M13" s="217" t="s">
        <v>84</v>
      </c>
      <c r="N13" s="215"/>
      <c r="O13" s="215"/>
    </row>
    <row r="14" spans="1:15" ht="64.5" customHeight="1" x14ac:dyDescent="0.2">
      <c r="A14" s="285"/>
      <c r="B14" s="226" t="s">
        <v>256</v>
      </c>
      <c r="C14" s="517" t="s">
        <v>320</v>
      </c>
      <c r="D14" s="517"/>
      <c r="E14" s="517"/>
      <c r="F14" s="517"/>
      <c r="G14" s="517"/>
      <c r="H14" s="517"/>
      <c r="I14" s="518"/>
      <c r="J14" s="183"/>
      <c r="K14" s="183"/>
      <c r="L14" s="215"/>
      <c r="M14" s="217" t="s">
        <v>86</v>
      </c>
      <c r="N14" s="215"/>
      <c r="O14" s="215"/>
    </row>
    <row r="15" spans="1:15" ht="30.75" customHeight="1" x14ac:dyDescent="0.2">
      <c r="A15" s="285"/>
      <c r="B15" s="226" t="s">
        <v>257</v>
      </c>
      <c r="C15" s="517" t="s">
        <v>315</v>
      </c>
      <c r="D15" s="517"/>
      <c r="E15" s="517"/>
      <c r="F15" s="517"/>
      <c r="G15" s="517"/>
      <c r="H15" s="517"/>
      <c r="I15" s="518"/>
      <c r="J15" s="184"/>
      <c r="K15" s="184"/>
      <c r="L15" s="215"/>
      <c r="M15" s="217" t="s">
        <v>88</v>
      </c>
      <c r="N15" s="215"/>
      <c r="O15" s="215"/>
    </row>
    <row r="16" spans="1:15" ht="20.25" customHeight="1" x14ac:dyDescent="0.2">
      <c r="A16" s="285"/>
      <c r="B16" s="226" t="s">
        <v>258</v>
      </c>
      <c r="C16" s="517" t="s">
        <v>321</v>
      </c>
      <c r="D16" s="517"/>
      <c r="E16" s="517"/>
      <c r="F16" s="517"/>
      <c r="G16" s="517"/>
      <c r="H16" s="517"/>
      <c r="I16" s="518"/>
      <c r="J16" s="185"/>
      <c r="K16" s="185"/>
      <c r="L16" s="215"/>
      <c r="M16" s="217"/>
      <c r="N16" s="215"/>
      <c r="O16" s="215"/>
    </row>
    <row r="17" spans="1:15" ht="30.75" customHeight="1" x14ac:dyDescent="0.2">
      <c r="A17" s="285"/>
      <c r="B17" s="226" t="s">
        <v>259</v>
      </c>
      <c r="C17" s="516" t="s">
        <v>314</v>
      </c>
      <c r="D17" s="535"/>
      <c r="E17" s="535"/>
      <c r="F17" s="535"/>
      <c r="G17" s="535"/>
      <c r="H17" s="535"/>
      <c r="I17" s="536"/>
      <c r="J17" s="186"/>
      <c r="K17" s="186"/>
      <c r="L17" s="215"/>
      <c r="M17" s="217" t="s">
        <v>91</v>
      </c>
      <c r="N17" s="215"/>
      <c r="O17" s="215"/>
    </row>
    <row r="18" spans="1:15" ht="18" customHeight="1" x14ac:dyDescent="0.2">
      <c r="A18" s="285"/>
      <c r="B18" s="537" t="s">
        <v>265</v>
      </c>
      <c r="C18" s="538" t="s">
        <v>237</v>
      </c>
      <c r="D18" s="538"/>
      <c r="E18" s="538"/>
      <c r="F18" s="539" t="s">
        <v>238</v>
      </c>
      <c r="G18" s="539"/>
      <c r="H18" s="539"/>
      <c r="I18" s="540"/>
      <c r="J18" s="187"/>
      <c r="K18" s="187"/>
      <c r="L18" s="215"/>
      <c r="M18" s="217" t="s">
        <v>79</v>
      </c>
      <c r="N18" s="215"/>
      <c r="O18" s="215"/>
    </row>
    <row r="19" spans="1:15" ht="39.75" customHeight="1" x14ac:dyDescent="0.2">
      <c r="A19" s="285"/>
      <c r="B19" s="537"/>
      <c r="C19" s="514" t="s">
        <v>322</v>
      </c>
      <c r="D19" s="514"/>
      <c r="E19" s="514"/>
      <c r="F19" s="514" t="s">
        <v>323</v>
      </c>
      <c r="G19" s="514"/>
      <c r="H19" s="514"/>
      <c r="I19" s="515"/>
      <c r="J19" s="185"/>
      <c r="K19" s="185"/>
      <c r="L19" s="215"/>
      <c r="M19" s="217" t="s">
        <v>95</v>
      </c>
      <c r="N19" s="215"/>
      <c r="O19" s="215"/>
    </row>
    <row r="20" spans="1:15" ht="39.75" customHeight="1" x14ac:dyDescent="0.2">
      <c r="A20" s="285"/>
      <c r="B20" s="226" t="s">
        <v>266</v>
      </c>
      <c r="C20" s="541" t="s">
        <v>314</v>
      </c>
      <c r="D20" s="542"/>
      <c r="E20" s="543"/>
      <c r="F20" s="544" t="s">
        <v>314</v>
      </c>
      <c r="G20" s="544"/>
      <c r="H20" s="544"/>
      <c r="I20" s="545"/>
      <c r="J20" s="179"/>
      <c r="K20" s="179"/>
      <c r="L20" s="215"/>
      <c r="M20" s="217"/>
      <c r="N20" s="215"/>
      <c r="O20" s="215"/>
    </row>
    <row r="21" spans="1:15" ht="106.15" customHeight="1" x14ac:dyDescent="0.2">
      <c r="A21" s="285"/>
      <c r="B21" s="226" t="s">
        <v>267</v>
      </c>
      <c r="C21" s="546" t="s">
        <v>324</v>
      </c>
      <c r="D21" s="547"/>
      <c r="E21" s="548"/>
      <c r="F21" s="549" t="s">
        <v>325</v>
      </c>
      <c r="G21" s="550"/>
      <c r="H21" s="550"/>
      <c r="I21" s="551"/>
      <c r="J21" s="184"/>
      <c r="K21" s="184"/>
      <c r="L21" s="215"/>
      <c r="M21" s="217"/>
      <c r="N21" s="215"/>
      <c r="O21" s="215"/>
    </row>
    <row r="22" spans="1:15" ht="23.25" customHeight="1" x14ac:dyDescent="0.2">
      <c r="A22" s="285"/>
      <c r="B22" s="226" t="s">
        <v>268</v>
      </c>
      <c r="C22" s="529">
        <v>44197</v>
      </c>
      <c r="D22" s="552"/>
      <c r="E22" s="553"/>
      <c r="F22" s="178" t="s">
        <v>271</v>
      </c>
      <c r="G22" s="287">
        <v>0.1</v>
      </c>
      <c r="H22" s="178" t="s">
        <v>275</v>
      </c>
      <c r="I22" s="288">
        <v>0.1</v>
      </c>
      <c r="J22" s="189"/>
      <c r="K22" s="189"/>
      <c r="L22" s="215"/>
      <c r="M22" s="217"/>
      <c r="N22" s="215"/>
      <c r="O22" s="215"/>
    </row>
    <row r="23" spans="1:15" ht="27" customHeight="1" x14ac:dyDescent="0.2">
      <c r="A23" s="285"/>
      <c r="B23" s="226" t="s">
        <v>269</v>
      </c>
      <c r="C23" s="529">
        <v>44561</v>
      </c>
      <c r="D23" s="530"/>
      <c r="E23" s="531"/>
      <c r="F23" s="178" t="s">
        <v>272</v>
      </c>
      <c r="G23" s="532">
        <v>0.4</v>
      </c>
      <c r="H23" s="533"/>
      <c r="I23" s="534"/>
      <c r="J23" s="190"/>
      <c r="K23" s="190"/>
      <c r="L23" s="215"/>
      <c r="M23" s="217"/>
      <c r="N23" s="215"/>
      <c r="O23" s="215"/>
    </row>
    <row r="24" spans="1:15" ht="30.75" customHeight="1" x14ac:dyDescent="0.2">
      <c r="A24" s="285"/>
      <c r="B24" s="233" t="s">
        <v>270</v>
      </c>
      <c r="C24" s="554" t="s">
        <v>326</v>
      </c>
      <c r="D24" s="555"/>
      <c r="E24" s="556"/>
      <c r="F24" s="229" t="s">
        <v>274</v>
      </c>
      <c r="G24" s="557" t="s">
        <v>223</v>
      </c>
      <c r="H24" s="530"/>
      <c r="I24" s="558"/>
      <c r="J24" s="187"/>
      <c r="K24" s="187"/>
      <c r="M24" s="188"/>
    </row>
    <row r="25" spans="1:15" ht="22.5" customHeight="1" x14ac:dyDescent="0.2">
      <c r="A25" s="285"/>
      <c r="B25" s="510" t="s">
        <v>235</v>
      </c>
      <c r="C25" s="511"/>
      <c r="D25" s="511"/>
      <c r="E25" s="511"/>
      <c r="F25" s="511"/>
      <c r="G25" s="511"/>
      <c r="H25" s="511"/>
      <c r="I25" s="512"/>
      <c r="J25" s="175"/>
      <c r="K25" s="175"/>
      <c r="M25" s="188"/>
    </row>
    <row r="26" spans="1:15" ht="43.5" customHeight="1" x14ac:dyDescent="0.2">
      <c r="A26" s="285"/>
      <c r="B26" s="191" t="s">
        <v>105</v>
      </c>
      <c r="C26" s="223" t="s">
        <v>261</v>
      </c>
      <c r="D26" s="223" t="s">
        <v>260</v>
      </c>
      <c r="E26" s="192" t="s">
        <v>264</v>
      </c>
      <c r="F26" s="223" t="s">
        <v>263</v>
      </c>
      <c r="G26" s="223" t="s">
        <v>262</v>
      </c>
      <c r="H26" s="192" t="s">
        <v>276</v>
      </c>
      <c r="I26" s="193" t="s">
        <v>273</v>
      </c>
      <c r="J26" s="185"/>
      <c r="K26" s="185"/>
      <c r="M26" s="188"/>
    </row>
    <row r="27" spans="1:15" ht="15.6" customHeight="1" x14ac:dyDescent="0.2">
      <c r="A27" s="285"/>
      <c r="B27" s="191" t="s">
        <v>329</v>
      </c>
      <c r="C27" s="218">
        <f>0.125*$G$23</f>
        <v>0.05</v>
      </c>
      <c r="D27" s="219">
        <v>0.05</v>
      </c>
      <c r="E27" s="265">
        <f>IF(OR(C27=0,C27=""),0,D27/C27)</f>
        <v>1</v>
      </c>
      <c r="F27" s="574">
        <f>SUM(C27:C38)</f>
        <v>0.40000000000000008</v>
      </c>
      <c r="G27" s="574">
        <f>SUM(D27:D38)</f>
        <v>0.1</v>
      </c>
      <c r="H27" s="266">
        <f>+(D27*100%)/$G$23</f>
        <v>0.125</v>
      </c>
      <c r="I27" s="571">
        <f>G27+I22</f>
        <v>0.2</v>
      </c>
      <c r="J27" s="185"/>
      <c r="K27" s="185"/>
      <c r="M27" s="188"/>
    </row>
    <row r="28" spans="1:15" ht="15.6" customHeight="1" x14ac:dyDescent="0.2">
      <c r="A28" s="285"/>
      <c r="B28" s="191" t="s">
        <v>114</v>
      </c>
      <c r="C28" s="218">
        <f>0.3075*$G$23</f>
        <v>0.123</v>
      </c>
      <c r="D28" s="218">
        <f>0.125*G23</f>
        <v>0.05</v>
      </c>
      <c r="E28" s="265">
        <f t="shared" ref="E28:E38" si="0">IF(OR(C28=0,C28=""),0,D28/C28)</f>
        <v>0.40650406504065045</v>
      </c>
      <c r="F28" s="575"/>
      <c r="G28" s="575"/>
      <c r="H28" s="266">
        <f>+IF(D28="","",((D28*100%)/$G$23)+H27)</f>
        <v>0.25</v>
      </c>
      <c r="I28" s="572"/>
      <c r="J28" s="185"/>
      <c r="K28" s="185"/>
      <c r="M28" s="188"/>
    </row>
    <row r="29" spans="1:15" ht="15.6" customHeight="1" x14ac:dyDescent="0.2">
      <c r="A29" s="285"/>
      <c r="B29" s="191" t="s">
        <v>115</v>
      </c>
      <c r="C29" s="218">
        <f>0.185*$G$23</f>
        <v>7.3999999999999996E-2</v>
      </c>
      <c r="D29" s="218"/>
      <c r="E29" s="265">
        <f t="shared" si="0"/>
        <v>0</v>
      </c>
      <c r="F29" s="575"/>
      <c r="G29" s="575"/>
      <c r="H29" s="266" t="str">
        <f t="shared" ref="H29:H38" si="1">+IF(D29="","",((D29*100%)/$G$23)+H28)</f>
        <v/>
      </c>
      <c r="I29" s="572"/>
      <c r="J29" s="185"/>
      <c r="K29" s="185"/>
      <c r="M29" s="188"/>
    </row>
    <row r="30" spans="1:15" ht="15.6" customHeight="1" x14ac:dyDescent="0.2">
      <c r="A30" s="285"/>
      <c r="B30" s="191" t="s">
        <v>116</v>
      </c>
      <c r="C30" s="218">
        <f>0.1325*$G$23</f>
        <v>5.3000000000000005E-2</v>
      </c>
      <c r="D30" s="218"/>
      <c r="E30" s="265">
        <f t="shared" si="0"/>
        <v>0</v>
      </c>
      <c r="F30" s="575"/>
      <c r="G30" s="575"/>
      <c r="H30" s="266" t="str">
        <f t="shared" si="1"/>
        <v/>
      </c>
      <c r="I30" s="572"/>
      <c r="J30" s="185"/>
      <c r="K30" s="185"/>
      <c r="M30" s="188"/>
    </row>
    <row r="31" spans="1:15" ht="15.6" customHeight="1" x14ac:dyDescent="0.2">
      <c r="A31" s="285"/>
      <c r="B31" s="191" t="s">
        <v>117</v>
      </c>
      <c r="C31" s="218">
        <f t="shared" ref="C31:C38" si="2">0.03125*$G$23</f>
        <v>1.2500000000000001E-2</v>
      </c>
      <c r="D31" s="218"/>
      <c r="E31" s="265">
        <f t="shared" si="0"/>
        <v>0</v>
      </c>
      <c r="F31" s="575"/>
      <c r="G31" s="575"/>
      <c r="H31" s="266" t="str">
        <f t="shared" si="1"/>
        <v/>
      </c>
      <c r="I31" s="572"/>
      <c r="J31" s="185"/>
      <c r="K31" s="185"/>
      <c r="M31" s="188"/>
    </row>
    <row r="32" spans="1:15" ht="15.6" customHeight="1" x14ac:dyDescent="0.2">
      <c r="A32" s="285"/>
      <c r="B32" s="191" t="s">
        <v>118</v>
      </c>
      <c r="C32" s="218">
        <f t="shared" si="2"/>
        <v>1.2500000000000001E-2</v>
      </c>
      <c r="D32" s="218"/>
      <c r="E32" s="265">
        <f t="shared" si="0"/>
        <v>0</v>
      </c>
      <c r="F32" s="575"/>
      <c r="G32" s="575"/>
      <c r="H32" s="266" t="str">
        <f t="shared" si="1"/>
        <v/>
      </c>
      <c r="I32" s="572"/>
      <c r="J32" s="185"/>
      <c r="K32" s="185"/>
      <c r="M32" s="188"/>
    </row>
    <row r="33" spans="1:11" ht="19.5" customHeight="1" x14ac:dyDescent="0.2">
      <c r="A33" s="285"/>
      <c r="B33" s="191" t="s">
        <v>119</v>
      </c>
      <c r="C33" s="218">
        <f t="shared" si="2"/>
        <v>1.2500000000000001E-2</v>
      </c>
      <c r="D33" s="218"/>
      <c r="E33" s="265">
        <f t="shared" si="0"/>
        <v>0</v>
      </c>
      <c r="F33" s="575"/>
      <c r="G33" s="575"/>
      <c r="H33" s="266" t="str">
        <f t="shared" si="1"/>
        <v/>
      </c>
      <c r="I33" s="572"/>
      <c r="J33" s="196"/>
      <c r="K33" s="196"/>
    </row>
    <row r="34" spans="1:11" ht="19.5" customHeight="1" x14ac:dyDescent="0.2">
      <c r="A34" s="285"/>
      <c r="B34" s="191" t="s">
        <v>120</v>
      </c>
      <c r="C34" s="218">
        <f t="shared" si="2"/>
        <v>1.2500000000000001E-2</v>
      </c>
      <c r="D34" s="218"/>
      <c r="E34" s="265">
        <f t="shared" si="0"/>
        <v>0</v>
      </c>
      <c r="F34" s="575"/>
      <c r="G34" s="575"/>
      <c r="H34" s="266" t="str">
        <f t="shared" si="1"/>
        <v/>
      </c>
      <c r="I34" s="572"/>
      <c r="J34" s="196"/>
      <c r="K34" s="196"/>
    </row>
    <row r="35" spans="1:11" ht="19.5" customHeight="1" x14ac:dyDescent="0.2">
      <c r="A35" s="285"/>
      <c r="B35" s="191" t="s">
        <v>121</v>
      </c>
      <c r="C35" s="218">
        <f t="shared" si="2"/>
        <v>1.2500000000000001E-2</v>
      </c>
      <c r="D35" s="218"/>
      <c r="E35" s="265">
        <f t="shared" si="0"/>
        <v>0</v>
      </c>
      <c r="F35" s="575"/>
      <c r="G35" s="575"/>
      <c r="H35" s="266" t="str">
        <f t="shared" si="1"/>
        <v/>
      </c>
      <c r="I35" s="572"/>
      <c r="J35" s="196"/>
      <c r="K35" s="196"/>
    </row>
    <row r="36" spans="1:11" ht="19.5" customHeight="1" x14ac:dyDescent="0.2">
      <c r="A36" s="285"/>
      <c r="B36" s="191" t="s">
        <v>122</v>
      </c>
      <c r="C36" s="218">
        <f t="shared" si="2"/>
        <v>1.2500000000000001E-2</v>
      </c>
      <c r="D36" s="218"/>
      <c r="E36" s="265">
        <f t="shared" si="0"/>
        <v>0</v>
      </c>
      <c r="F36" s="575"/>
      <c r="G36" s="575"/>
      <c r="H36" s="266" t="str">
        <f t="shared" si="1"/>
        <v/>
      </c>
      <c r="I36" s="572"/>
      <c r="J36" s="196"/>
      <c r="K36" s="196"/>
    </row>
    <row r="37" spans="1:11" ht="19.5" customHeight="1" x14ac:dyDescent="0.2">
      <c r="A37" s="285"/>
      <c r="B37" s="191" t="s">
        <v>123</v>
      </c>
      <c r="C37" s="218">
        <f t="shared" si="2"/>
        <v>1.2500000000000001E-2</v>
      </c>
      <c r="D37" s="218"/>
      <c r="E37" s="265">
        <f t="shared" si="0"/>
        <v>0</v>
      </c>
      <c r="F37" s="575"/>
      <c r="G37" s="575"/>
      <c r="H37" s="266" t="str">
        <f t="shared" si="1"/>
        <v/>
      </c>
      <c r="I37" s="572"/>
      <c r="J37" s="196"/>
      <c r="K37" s="196"/>
    </row>
    <row r="38" spans="1:11" ht="19.5" customHeight="1" x14ac:dyDescent="0.2">
      <c r="A38" s="285"/>
      <c r="B38" s="191" t="s">
        <v>124</v>
      </c>
      <c r="C38" s="218">
        <f t="shared" si="2"/>
        <v>1.2500000000000001E-2</v>
      </c>
      <c r="D38" s="218"/>
      <c r="E38" s="265">
        <f t="shared" si="0"/>
        <v>0</v>
      </c>
      <c r="F38" s="576"/>
      <c r="G38" s="576"/>
      <c r="H38" s="266" t="str">
        <f t="shared" si="1"/>
        <v/>
      </c>
      <c r="I38" s="573"/>
      <c r="J38" s="196"/>
      <c r="K38" s="196"/>
    </row>
    <row r="39" spans="1:11" ht="52.5" customHeight="1" x14ac:dyDescent="0.2">
      <c r="A39" s="285"/>
      <c r="B39" s="231" t="s">
        <v>277</v>
      </c>
      <c r="C39" s="559"/>
      <c r="D39" s="560"/>
      <c r="E39" s="560"/>
      <c r="F39" s="560"/>
      <c r="G39" s="560"/>
      <c r="H39" s="560"/>
      <c r="I39" s="561"/>
      <c r="J39" s="198"/>
      <c r="K39" s="198"/>
    </row>
    <row r="40" spans="1:11" ht="34.5" customHeight="1" x14ac:dyDescent="0.2">
      <c r="A40" s="285"/>
      <c r="B40" s="562"/>
      <c r="C40" s="563"/>
      <c r="D40" s="563"/>
      <c r="E40" s="563"/>
      <c r="F40" s="563"/>
      <c r="G40" s="563"/>
      <c r="H40" s="563"/>
      <c r="I40" s="564"/>
      <c r="J40" s="175"/>
      <c r="K40" s="175"/>
    </row>
    <row r="41" spans="1:11" ht="34.5" customHeight="1" x14ac:dyDescent="0.2">
      <c r="A41" s="285"/>
      <c r="B41" s="565"/>
      <c r="C41" s="566"/>
      <c r="D41" s="566"/>
      <c r="E41" s="566"/>
      <c r="F41" s="566"/>
      <c r="G41" s="566"/>
      <c r="H41" s="566"/>
      <c r="I41" s="567"/>
      <c r="J41" s="198"/>
      <c r="K41" s="198"/>
    </row>
    <row r="42" spans="1:11" ht="34.5" customHeight="1" x14ac:dyDescent="0.2">
      <c r="A42" s="285"/>
      <c r="B42" s="565"/>
      <c r="C42" s="566"/>
      <c r="D42" s="566"/>
      <c r="E42" s="566"/>
      <c r="F42" s="566"/>
      <c r="G42" s="566"/>
      <c r="H42" s="566"/>
      <c r="I42" s="567"/>
      <c r="J42" s="198"/>
      <c r="K42" s="198"/>
    </row>
    <row r="43" spans="1:11" ht="34.5" customHeight="1" x14ac:dyDescent="0.2">
      <c r="A43" s="285"/>
      <c r="B43" s="565"/>
      <c r="C43" s="566"/>
      <c r="D43" s="566"/>
      <c r="E43" s="566"/>
      <c r="F43" s="566"/>
      <c r="G43" s="566"/>
      <c r="H43" s="566"/>
      <c r="I43" s="567"/>
      <c r="J43" s="198"/>
      <c r="K43" s="198"/>
    </row>
    <row r="44" spans="1:11" ht="34.5" customHeight="1" x14ac:dyDescent="0.2">
      <c r="A44" s="285"/>
      <c r="B44" s="568"/>
      <c r="C44" s="569"/>
      <c r="D44" s="569"/>
      <c r="E44" s="569"/>
      <c r="F44" s="569"/>
      <c r="G44" s="569"/>
      <c r="H44" s="569"/>
      <c r="I44" s="570"/>
      <c r="J44" s="174"/>
      <c r="K44" s="174"/>
    </row>
    <row r="45" spans="1:11" ht="127.15" customHeight="1" x14ac:dyDescent="0.2">
      <c r="A45" s="285"/>
      <c r="B45" s="226" t="s">
        <v>278</v>
      </c>
      <c r="C45" s="585" t="s">
        <v>381</v>
      </c>
      <c r="D45" s="586"/>
      <c r="E45" s="586"/>
      <c r="F45" s="586"/>
      <c r="G45" s="586"/>
      <c r="H45" s="586"/>
      <c r="I45" s="587"/>
      <c r="J45" s="199"/>
      <c r="K45" s="199"/>
    </row>
    <row r="46" spans="1:11" ht="64.900000000000006" customHeight="1" x14ac:dyDescent="0.2">
      <c r="A46" s="285"/>
      <c r="B46" s="226" t="s">
        <v>279</v>
      </c>
      <c r="C46" s="585" t="s">
        <v>382</v>
      </c>
      <c r="D46" s="586"/>
      <c r="E46" s="586"/>
      <c r="F46" s="586"/>
      <c r="G46" s="586"/>
      <c r="H46" s="586"/>
      <c r="I46" s="587"/>
      <c r="J46" s="199"/>
      <c r="K46" s="199"/>
    </row>
    <row r="47" spans="1:11" ht="66" customHeight="1" x14ac:dyDescent="0.2">
      <c r="A47" s="285"/>
      <c r="B47" s="232" t="s">
        <v>280</v>
      </c>
      <c r="C47" s="588" t="s">
        <v>335</v>
      </c>
      <c r="D47" s="589"/>
      <c r="E47" s="589"/>
      <c r="F47" s="589"/>
      <c r="G47" s="589"/>
      <c r="H47" s="589"/>
      <c r="I47" s="590"/>
      <c r="J47" s="199"/>
      <c r="K47" s="199"/>
    </row>
    <row r="48" spans="1:11" ht="22.5" customHeight="1" x14ac:dyDescent="0.2">
      <c r="A48" s="285"/>
      <c r="B48" s="510" t="s">
        <v>236</v>
      </c>
      <c r="C48" s="511"/>
      <c r="D48" s="511"/>
      <c r="E48" s="511"/>
      <c r="F48" s="511"/>
      <c r="G48" s="511"/>
      <c r="H48" s="511"/>
      <c r="I48" s="512"/>
      <c r="J48" s="199"/>
      <c r="K48" s="199"/>
    </row>
    <row r="49" spans="1:11" ht="22.5" customHeight="1" x14ac:dyDescent="0.2">
      <c r="A49" s="285"/>
      <c r="B49" s="581" t="s">
        <v>281</v>
      </c>
      <c r="C49" s="220" t="s">
        <v>282</v>
      </c>
      <c r="D49" s="583" t="s">
        <v>283</v>
      </c>
      <c r="E49" s="583"/>
      <c r="F49" s="583"/>
      <c r="G49" s="583" t="s">
        <v>284</v>
      </c>
      <c r="H49" s="583"/>
      <c r="I49" s="584"/>
      <c r="J49" s="200"/>
      <c r="K49" s="200"/>
    </row>
    <row r="50" spans="1:11" ht="30.75" customHeight="1" x14ac:dyDescent="0.2">
      <c r="A50" s="285"/>
      <c r="B50" s="582"/>
      <c r="C50" s="289"/>
      <c r="D50" s="577"/>
      <c r="E50" s="577"/>
      <c r="F50" s="577"/>
      <c r="G50" s="577"/>
      <c r="H50" s="577"/>
      <c r="I50" s="578"/>
      <c r="J50" s="200"/>
      <c r="K50" s="200"/>
    </row>
    <row r="51" spans="1:11" ht="32.25" customHeight="1" x14ac:dyDescent="0.2">
      <c r="A51" s="285"/>
      <c r="B51" s="235" t="s">
        <v>285</v>
      </c>
      <c r="C51" s="577" t="s">
        <v>336</v>
      </c>
      <c r="D51" s="577"/>
      <c r="E51" s="577"/>
      <c r="F51" s="577"/>
      <c r="G51" s="577"/>
      <c r="H51" s="577"/>
      <c r="I51" s="578"/>
      <c r="J51" s="202"/>
      <c r="K51" s="202"/>
    </row>
    <row r="52" spans="1:11" ht="28.5" customHeight="1" x14ac:dyDescent="0.2">
      <c r="A52" s="285"/>
      <c r="B52" s="236" t="s">
        <v>286</v>
      </c>
      <c r="C52" s="577" t="s">
        <v>336</v>
      </c>
      <c r="D52" s="577"/>
      <c r="E52" s="577"/>
      <c r="F52" s="577"/>
      <c r="G52" s="577"/>
      <c r="H52" s="577"/>
      <c r="I52" s="578"/>
      <c r="J52" s="202"/>
      <c r="K52" s="202"/>
    </row>
    <row r="53" spans="1:11" ht="30" customHeight="1" x14ac:dyDescent="0.2">
      <c r="A53" s="285"/>
      <c r="B53" s="232" t="s">
        <v>287</v>
      </c>
      <c r="C53" s="577" t="s">
        <v>330</v>
      </c>
      <c r="D53" s="577"/>
      <c r="E53" s="577"/>
      <c r="F53" s="577"/>
      <c r="G53" s="577"/>
      <c r="H53" s="577"/>
      <c r="I53" s="578"/>
      <c r="J53" s="203"/>
      <c r="K53" s="203"/>
    </row>
    <row r="54" spans="1:11" ht="31.5" customHeight="1" thickBot="1" x14ac:dyDescent="0.25">
      <c r="A54" s="290"/>
      <c r="B54" s="213" t="s">
        <v>288</v>
      </c>
      <c r="C54" s="579" t="s">
        <v>331</v>
      </c>
      <c r="D54" s="579"/>
      <c r="E54" s="579"/>
      <c r="F54" s="579"/>
      <c r="G54" s="579"/>
      <c r="H54" s="579"/>
      <c r="I54" s="580"/>
      <c r="J54" s="204"/>
      <c r="K54" s="204"/>
    </row>
    <row r="55" spans="1:11" x14ac:dyDescent="0.2">
      <c r="B55" s="205"/>
      <c r="C55" s="206"/>
      <c r="D55" s="206"/>
      <c r="E55" s="207"/>
      <c r="F55" s="207"/>
      <c r="G55" s="214"/>
      <c r="H55" s="209"/>
      <c r="I55" s="206"/>
      <c r="J55" s="204"/>
      <c r="K55" s="204"/>
    </row>
    <row r="56" spans="1:11" x14ac:dyDescent="0.2">
      <c r="B56" s="205"/>
      <c r="C56" s="206"/>
      <c r="D56" s="206"/>
      <c r="E56" s="207"/>
      <c r="F56" s="207"/>
      <c r="G56" s="214"/>
      <c r="H56" s="209"/>
      <c r="I56" s="206"/>
      <c r="J56" s="204"/>
      <c r="K56" s="204"/>
    </row>
    <row r="57" spans="1:11" x14ac:dyDescent="0.2">
      <c r="B57" s="205"/>
      <c r="C57" s="206"/>
      <c r="D57" s="206"/>
      <c r="E57" s="207"/>
      <c r="F57" s="207"/>
      <c r="G57" s="214"/>
      <c r="H57" s="209"/>
      <c r="I57" s="206"/>
      <c r="J57" s="204"/>
      <c r="K57" s="204"/>
    </row>
    <row r="58" spans="1:11" x14ac:dyDescent="0.2">
      <c r="B58" s="205"/>
      <c r="C58" s="206"/>
      <c r="D58" s="206"/>
      <c r="E58" s="207"/>
      <c r="F58" s="207"/>
      <c r="G58" s="214"/>
      <c r="H58" s="209"/>
      <c r="I58" s="206"/>
      <c r="J58" s="204"/>
      <c r="K58" s="204"/>
    </row>
    <row r="59" spans="1:11" x14ac:dyDescent="0.2">
      <c r="B59" s="205"/>
      <c r="C59" s="206"/>
      <c r="D59" s="206"/>
      <c r="E59" s="207"/>
      <c r="F59" s="207"/>
      <c r="G59" s="214"/>
      <c r="H59" s="209"/>
      <c r="I59" s="206"/>
      <c r="J59" s="204"/>
      <c r="K59" s="204"/>
    </row>
    <row r="60" spans="1:11" ht="25.5" customHeight="1" x14ac:dyDescent="0.2">
      <c r="B60" s="205"/>
      <c r="C60" s="206"/>
      <c r="D60" s="206"/>
      <c r="E60" s="207"/>
      <c r="F60" s="207"/>
      <c r="G60" s="214"/>
      <c r="H60" s="209"/>
      <c r="I60" s="206"/>
      <c r="J60" s="204"/>
      <c r="K60" s="204"/>
    </row>
  </sheetData>
  <sheetProtection algorithmName="SHA-512" hashValue="SsMhyUXheTen0i35wsNZIqb6Xe9b23XLL8PcByxPhglJ6PHbAGGM5ncRA1M0Tkg41lwf2cBfXF486ATTmTHJtw==" saltValue="gyXUE/Bsi1+8RV1/9SELbA==" spinCount="100000" sheet="1" objects="1" scenarios="1"/>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0"/>
  <sheetViews>
    <sheetView topLeftCell="C23" zoomScale="85" zoomScaleNormal="85" zoomScalePageLayoutView="85" workbookViewId="0">
      <selection activeCell="F6" sqref="F6:I6"/>
    </sheetView>
  </sheetViews>
  <sheetFormatPr baseColWidth="10" defaultColWidth="10.85546875" defaultRowHeight="12.75" x14ac:dyDescent="0.2"/>
  <cols>
    <col min="1" max="1" width="1" style="173" customWidth="1"/>
    <col min="2" max="2" width="25.42578125" style="210" customWidth="1"/>
    <col min="3" max="5" width="25.7109375" style="173" customWidth="1"/>
    <col min="6" max="6" width="25" style="173" customWidth="1"/>
    <col min="7" max="7" width="22" style="210" customWidth="1"/>
    <col min="8" max="8" width="20.42578125" style="173" customWidth="1"/>
    <col min="9" max="9" width="25.28515625" style="173" customWidth="1"/>
    <col min="10" max="11" width="22.42578125" style="173" customWidth="1"/>
    <col min="12" max="24" width="10.85546875" style="171"/>
    <col min="25" max="16384" width="10.85546875" style="173"/>
  </cols>
  <sheetData>
    <row r="1" spans="2:14" ht="37.5" customHeight="1" x14ac:dyDescent="0.2">
      <c r="B1" s="498"/>
      <c r="C1" s="591" t="s">
        <v>25</v>
      </c>
      <c r="D1" s="591"/>
      <c r="E1" s="591"/>
      <c r="F1" s="591"/>
      <c r="G1" s="591"/>
      <c r="H1" s="591"/>
      <c r="I1" s="502"/>
      <c r="J1" s="170"/>
      <c r="K1" s="170"/>
      <c r="M1" s="172" t="s">
        <v>47</v>
      </c>
    </row>
    <row r="2" spans="2:14" ht="37.5" customHeight="1" x14ac:dyDescent="0.2">
      <c r="B2" s="499"/>
      <c r="C2" s="505" t="s">
        <v>239</v>
      </c>
      <c r="D2" s="505"/>
      <c r="E2" s="505"/>
      <c r="F2" s="505"/>
      <c r="G2" s="505"/>
      <c r="H2" s="505"/>
      <c r="I2" s="503"/>
      <c r="J2" s="170"/>
      <c r="K2" s="170"/>
      <c r="M2" s="172" t="s">
        <v>48</v>
      </c>
    </row>
    <row r="3" spans="2:14" ht="37.5" customHeight="1" thickBot="1" x14ac:dyDescent="0.25">
      <c r="B3" s="500"/>
      <c r="C3" s="506" t="s">
        <v>240</v>
      </c>
      <c r="D3" s="506"/>
      <c r="E3" s="506"/>
      <c r="F3" s="506" t="s">
        <v>241</v>
      </c>
      <c r="G3" s="506"/>
      <c r="H3" s="506"/>
      <c r="I3" s="504"/>
      <c r="J3" s="170"/>
      <c r="K3" s="170"/>
      <c r="M3" s="172" t="s">
        <v>50</v>
      </c>
    </row>
    <row r="4" spans="2:14" ht="23.25" customHeight="1" x14ac:dyDescent="0.2">
      <c r="B4" s="507"/>
      <c r="C4" s="508"/>
      <c r="D4" s="508"/>
      <c r="E4" s="508"/>
      <c r="F4" s="508"/>
      <c r="G4" s="508"/>
      <c r="H4" s="508"/>
      <c r="I4" s="509"/>
      <c r="J4" s="174"/>
      <c r="K4" s="174"/>
    </row>
    <row r="5" spans="2:14" ht="24" customHeight="1" x14ac:dyDescent="0.2">
      <c r="B5" s="510" t="s">
        <v>234</v>
      </c>
      <c r="C5" s="511"/>
      <c r="D5" s="511"/>
      <c r="E5" s="511"/>
      <c r="F5" s="511"/>
      <c r="G5" s="511"/>
      <c r="H5" s="511"/>
      <c r="I5" s="512"/>
      <c r="J5" s="175"/>
      <c r="K5" s="175"/>
      <c r="N5" s="176" t="s">
        <v>57</v>
      </c>
    </row>
    <row r="6" spans="2:14" ht="30.75" customHeight="1" x14ac:dyDescent="0.2">
      <c r="B6" s="226" t="s">
        <v>242</v>
      </c>
      <c r="C6" s="224">
        <v>2</v>
      </c>
      <c r="D6" s="513" t="s">
        <v>243</v>
      </c>
      <c r="E6" s="513"/>
      <c r="F6" s="514" t="str">
        <f>'[7]Proyecto 7550'!$N$13</f>
        <v>Fortalecer los canales de comunicación</v>
      </c>
      <c r="G6" s="514"/>
      <c r="H6" s="514"/>
      <c r="I6" s="515"/>
      <c r="J6" s="177"/>
      <c r="K6" s="177"/>
      <c r="M6" s="172" t="s">
        <v>60</v>
      </c>
      <c r="N6" s="176" t="s">
        <v>61</v>
      </c>
    </row>
    <row r="7" spans="2:14" ht="30.75" customHeight="1" x14ac:dyDescent="0.2">
      <c r="B7" s="226" t="s">
        <v>244</v>
      </c>
      <c r="C7" s="224" t="s">
        <v>81</v>
      </c>
      <c r="D7" s="513" t="s">
        <v>245</v>
      </c>
      <c r="E7" s="513"/>
      <c r="F7" s="516" t="s">
        <v>292</v>
      </c>
      <c r="G7" s="516"/>
      <c r="H7" s="178" t="s">
        <v>246</v>
      </c>
      <c r="I7" s="225" t="s">
        <v>81</v>
      </c>
      <c r="J7" s="179"/>
      <c r="K7" s="179"/>
      <c r="M7" s="172" t="s">
        <v>65</v>
      </c>
      <c r="N7" s="176" t="s">
        <v>66</v>
      </c>
    </row>
    <row r="8" spans="2:14" ht="30.75" customHeight="1" x14ac:dyDescent="0.2">
      <c r="B8" s="226" t="s">
        <v>247</v>
      </c>
      <c r="C8" s="514" t="s">
        <v>289</v>
      </c>
      <c r="D8" s="514"/>
      <c r="E8" s="514"/>
      <c r="F8" s="514"/>
      <c r="G8" s="178" t="s">
        <v>248</v>
      </c>
      <c r="H8" s="519">
        <v>7550</v>
      </c>
      <c r="I8" s="520"/>
      <c r="J8" s="180"/>
      <c r="K8" s="180"/>
      <c r="M8" s="172" t="s">
        <v>69</v>
      </c>
      <c r="N8" s="176" t="s">
        <v>70</v>
      </c>
    </row>
    <row r="9" spans="2:14" ht="30.75" customHeight="1" x14ac:dyDescent="0.2">
      <c r="B9" s="226" t="s">
        <v>48</v>
      </c>
      <c r="C9" s="521" t="s">
        <v>60</v>
      </c>
      <c r="D9" s="521"/>
      <c r="E9" s="521"/>
      <c r="F9" s="521"/>
      <c r="G9" s="178" t="s">
        <v>249</v>
      </c>
      <c r="H9" s="522" t="s">
        <v>290</v>
      </c>
      <c r="I9" s="523"/>
      <c r="J9" s="181"/>
      <c r="K9" s="181"/>
      <c r="M9" s="182" t="s">
        <v>73</v>
      </c>
    </row>
    <row r="10" spans="2:14" ht="98.25" customHeight="1" x14ac:dyDescent="0.2">
      <c r="B10" s="226" t="s">
        <v>250</v>
      </c>
      <c r="C10" s="514" t="s">
        <v>380</v>
      </c>
      <c r="D10" s="514"/>
      <c r="E10" s="514"/>
      <c r="F10" s="514"/>
      <c r="G10" s="514"/>
      <c r="H10" s="514"/>
      <c r="I10" s="515"/>
      <c r="J10" s="183"/>
      <c r="K10" s="183"/>
      <c r="M10" s="182"/>
    </row>
    <row r="11" spans="2:14" ht="30.75" customHeight="1" x14ac:dyDescent="0.2">
      <c r="B11" s="226" t="s">
        <v>251</v>
      </c>
      <c r="C11" s="524" t="s">
        <v>291</v>
      </c>
      <c r="D11" s="524"/>
      <c r="E11" s="524"/>
      <c r="F11" s="524"/>
      <c r="G11" s="524"/>
      <c r="H11" s="524"/>
      <c r="I11" s="525"/>
      <c r="J11" s="179"/>
      <c r="K11" s="179"/>
      <c r="M11" s="182"/>
      <c r="N11" s="176" t="s">
        <v>76</v>
      </c>
    </row>
    <row r="12" spans="2:14" ht="30.75" customHeight="1" x14ac:dyDescent="0.2">
      <c r="B12" s="226" t="s">
        <v>254</v>
      </c>
      <c r="C12" s="517" t="s">
        <v>305</v>
      </c>
      <c r="D12" s="517"/>
      <c r="E12" s="517"/>
      <c r="F12" s="517"/>
      <c r="G12" s="178" t="s">
        <v>252</v>
      </c>
      <c r="H12" s="526" t="s">
        <v>91</v>
      </c>
      <c r="I12" s="527"/>
      <c r="J12" s="179"/>
      <c r="K12" s="179"/>
      <c r="M12" s="182" t="s">
        <v>80</v>
      </c>
      <c r="N12" s="176" t="s">
        <v>81</v>
      </c>
    </row>
    <row r="13" spans="2:14" ht="30.75" customHeight="1" x14ac:dyDescent="0.2">
      <c r="B13" s="226" t="s">
        <v>255</v>
      </c>
      <c r="C13" s="528" t="s">
        <v>349</v>
      </c>
      <c r="D13" s="528"/>
      <c r="E13" s="528"/>
      <c r="F13" s="528"/>
      <c r="G13" s="223" t="s">
        <v>253</v>
      </c>
      <c r="H13" s="526" t="s">
        <v>61</v>
      </c>
      <c r="I13" s="527"/>
      <c r="J13" s="179"/>
      <c r="K13" s="179"/>
      <c r="M13" s="182" t="s">
        <v>84</v>
      </c>
    </row>
    <row r="14" spans="2:14" ht="64.5" customHeight="1" x14ac:dyDescent="0.2">
      <c r="B14" s="226" t="s">
        <v>256</v>
      </c>
      <c r="C14" s="517" t="s">
        <v>341</v>
      </c>
      <c r="D14" s="517"/>
      <c r="E14" s="517"/>
      <c r="F14" s="517"/>
      <c r="G14" s="517"/>
      <c r="H14" s="517"/>
      <c r="I14" s="518"/>
      <c r="J14" s="183"/>
      <c r="K14" s="183"/>
      <c r="M14" s="182" t="s">
        <v>86</v>
      </c>
      <c r="N14" s="176"/>
    </row>
    <row r="15" spans="2:14" ht="30.75" customHeight="1" x14ac:dyDescent="0.2">
      <c r="B15" s="226" t="s">
        <v>257</v>
      </c>
      <c r="C15" s="517" t="s">
        <v>293</v>
      </c>
      <c r="D15" s="517"/>
      <c r="E15" s="517"/>
      <c r="F15" s="517"/>
      <c r="G15" s="517"/>
      <c r="H15" s="517"/>
      <c r="I15" s="518"/>
      <c r="J15" s="184"/>
      <c r="K15" s="184"/>
      <c r="M15" s="182" t="s">
        <v>88</v>
      </c>
      <c r="N15" s="176"/>
    </row>
    <row r="16" spans="2:14" ht="35.450000000000003" customHeight="1" x14ac:dyDescent="0.2">
      <c r="B16" s="226" t="s">
        <v>258</v>
      </c>
      <c r="C16" s="524" t="s">
        <v>342</v>
      </c>
      <c r="D16" s="524"/>
      <c r="E16" s="524"/>
      <c r="F16" s="524"/>
      <c r="G16" s="524"/>
      <c r="H16" s="524"/>
      <c r="I16" s="525"/>
      <c r="J16" s="185"/>
      <c r="K16" s="185"/>
      <c r="M16" s="182"/>
      <c r="N16" s="176"/>
    </row>
    <row r="17" spans="2:14" ht="30.75" customHeight="1" x14ac:dyDescent="0.2">
      <c r="B17" s="226" t="s">
        <v>259</v>
      </c>
      <c r="C17" s="516" t="s">
        <v>152</v>
      </c>
      <c r="D17" s="535"/>
      <c r="E17" s="535"/>
      <c r="F17" s="535"/>
      <c r="G17" s="535"/>
      <c r="H17" s="535"/>
      <c r="I17" s="536"/>
      <c r="J17" s="186"/>
      <c r="K17" s="186"/>
      <c r="M17" s="182" t="s">
        <v>91</v>
      </c>
      <c r="N17" s="176"/>
    </row>
    <row r="18" spans="2:14" ht="18" customHeight="1" x14ac:dyDescent="0.2">
      <c r="B18" s="537" t="s">
        <v>265</v>
      </c>
      <c r="C18" s="538" t="s">
        <v>237</v>
      </c>
      <c r="D18" s="538"/>
      <c r="E18" s="538"/>
      <c r="F18" s="539" t="s">
        <v>238</v>
      </c>
      <c r="G18" s="539"/>
      <c r="H18" s="539"/>
      <c r="I18" s="540"/>
      <c r="J18" s="187"/>
      <c r="K18" s="187"/>
      <c r="M18" s="182" t="s">
        <v>79</v>
      </c>
      <c r="N18" s="176"/>
    </row>
    <row r="19" spans="2:14" ht="39.75" customHeight="1" x14ac:dyDescent="0.2">
      <c r="B19" s="537"/>
      <c r="C19" s="514" t="s">
        <v>303</v>
      </c>
      <c r="D19" s="514"/>
      <c r="E19" s="514"/>
      <c r="F19" s="514" t="s">
        <v>304</v>
      </c>
      <c r="G19" s="514"/>
      <c r="H19" s="514"/>
      <c r="I19" s="515"/>
      <c r="J19" s="185"/>
      <c r="K19" s="185"/>
      <c r="M19" s="182" t="s">
        <v>95</v>
      </c>
      <c r="N19" s="176"/>
    </row>
    <row r="20" spans="2:14" ht="39.75" customHeight="1" x14ac:dyDescent="0.2">
      <c r="B20" s="226" t="s">
        <v>266</v>
      </c>
      <c r="C20" s="541" t="s">
        <v>152</v>
      </c>
      <c r="D20" s="542"/>
      <c r="E20" s="543"/>
      <c r="F20" s="544" t="s">
        <v>152</v>
      </c>
      <c r="G20" s="544"/>
      <c r="H20" s="544"/>
      <c r="I20" s="545"/>
      <c r="J20" s="179"/>
      <c r="K20" s="179"/>
      <c r="M20" s="182"/>
      <c r="N20" s="176"/>
    </row>
    <row r="21" spans="2:14" ht="86.45" customHeight="1" x14ac:dyDescent="0.2">
      <c r="B21" s="226" t="s">
        <v>267</v>
      </c>
      <c r="C21" s="598" t="s">
        <v>306</v>
      </c>
      <c r="D21" s="599"/>
      <c r="E21" s="600"/>
      <c r="F21" s="601" t="s">
        <v>307</v>
      </c>
      <c r="G21" s="593"/>
      <c r="H21" s="593"/>
      <c r="I21" s="602"/>
      <c r="J21" s="184"/>
      <c r="K21" s="184"/>
      <c r="M21" s="188"/>
      <c r="N21" s="176"/>
    </row>
    <row r="22" spans="2:14" ht="23.25" customHeight="1" x14ac:dyDescent="0.2">
      <c r="B22" s="226" t="s">
        <v>268</v>
      </c>
      <c r="C22" s="592">
        <v>44197</v>
      </c>
      <c r="D22" s="603"/>
      <c r="E22" s="604"/>
      <c r="F22" s="178" t="s">
        <v>271</v>
      </c>
      <c r="G22" s="267">
        <v>8.5000000000000006E-2</v>
      </c>
      <c r="H22" s="178" t="s">
        <v>275</v>
      </c>
      <c r="I22" s="268">
        <v>8.5000000000000006E-2</v>
      </c>
      <c r="J22" s="189"/>
      <c r="K22" s="189"/>
      <c r="M22" s="188"/>
    </row>
    <row r="23" spans="2:14" ht="27" customHeight="1" x14ac:dyDescent="0.2">
      <c r="B23" s="226" t="s">
        <v>269</v>
      </c>
      <c r="C23" s="592">
        <v>44561</v>
      </c>
      <c r="D23" s="593"/>
      <c r="E23" s="594"/>
      <c r="F23" s="178" t="s">
        <v>272</v>
      </c>
      <c r="G23" s="595">
        <v>0.3</v>
      </c>
      <c r="H23" s="596"/>
      <c r="I23" s="597"/>
      <c r="J23" s="190"/>
      <c r="K23" s="190"/>
      <c r="M23" s="188"/>
    </row>
    <row r="24" spans="2:14" ht="30.75" customHeight="1" x14ac:dyDescent="0.2">
      <c r="B24" s="233" t="s">
        <v>270</v>
      </c>
      <c r="C24" s="605" t="s">
        <v>326</v>
      </c>
      <c r="D24" s="606"/>
      <c r="E24" s="607"/>
      <c r="F24" s="229" t="s">
        <v>274</v>
      </c>
      <c r="G24" s="557" t="s">
        <v>223</v>
      </c>
      <c r="H24" s="530"/>
      <c r="I24" s="558"/>
      <c r="J24" s="187"/>
      <c r="K24" s="187"/>
      <c r="M24" s="188"/>
    </row>
    <row r="25" spans="2:14" ht="22.5" customHeight="1" x14ac:dyDescent="0.2">
      <c r="B25" s="510" t="s">
        <v>235</v>
      </c>
      <c r="C25" s="511"/>
      <c r="D25" s="511"/>
      <c r="E25" s="511"/>
      <c r="F25" s="511"/>
      <c r="G25" s="511"/>
      <c r="H25" s="511"/>
      <c r="I25" s="512"/>
      <c r="J25" s="175"/>
      <c r="K25" s="175"/>
      <c r="M25" s="188"/>
    </row>
    <row r="26" spans="2:14" ht="43.5" customHeight="1" x14ac:dyDescent="0.2">
      <c r="B26" s="191" t="s">
        <v>105</v>
      </c>
      <c r="C26" s="223" t="s">
        <v>261</v>
      </c>
      <c r="D26" s="223" t="s">
        <v>260</v>
      </c>
      <c r="E26" s="192" t="s">
        <v>264</v>
      </c>
      <c r="F26" s="223" t="s">
        <v>263</v>
      </c>
      <c r="G26" s="223" t="s">
        <v>262</v>
      </c>
      <c r="H26" s="192" t="s">
        <v>276</v>
      </c>
      <c r="I26" s="193" t="s">
        <v>273</v>
      </c>
      <c r="J26" s="185"/>
      <c r="K26" s="185"/>
      <c r="M26" s="188"/>
    </row>
    <row r="27" spans="2:14" ht="15.6" customHeight="1" x14ac:dyDescent="0.2">
      <c r="B27" s="191" t="s">
        <v>329</v>
      </c>
      <c r="C27" s="280">
        <f>0.083333*$G$23</f>
        <v>2.4999900000000002E-2</v>
      </c>
      <c r="D27" s="280">
        <v>2.4999900000000002E-2</v>
      </c>
      <c r="E27" s="265">
        <f>IF(OR(C27=0,C27=""),0,D27/C27)</f>
        <v>1</v>
      </c>
      <c r="F27" s="574">
        <f>SUM(C27:C38)</f>
        <v>0.29999880000000001</v>
      </c>
      <c r="G27" s="574">
        <f>SUM(D27:D38)</f>
        <v>4.9999800000000004E-2</v>
      </c>
      <c r="H27" s="266">
        <f>+(D27*100%)/$G$23</f>
        <v>8.3333000000000004E-2</v>
      </c>
      <c r="I27" s="571">
        <f>G27+I22</f>
        <v>0.1349998</v>
      </c>
      <c r="J27" s="185"/>
      <c r="K27" s="185"/>
      <c r="M27" s="188"/>
    </row>
    <row r="28" spans="2:14" ht="15.6" customHeight="1" x14ac:dyDescent="0.2">
      <c r="B28" s="191" t="s">
        <v>114</v>
      </c>
      <c r="C28" s="280">
        <f t="shared" ref="C28:D38" si="0">0.083333*$G$23</f>
        <v>2.4999900000000002E-2</v>
      </c>
      <c r="D28" s="280">
        <f t="shared" si="0"/>
        <v>2.4999900000000002E-2</v>
      </c>
      <c r="E28" s="265">
        <f t="shared" ref="E28:E38" si="1">IF(OR(C28=0,C28=""),0,D28/C28)</f>
        <v>1</v>
      </c>
      <c r="F28" s="575"/>
      <c r="G28" s="575"/>
      <c r="H28" s="266">
        <f>+IF(D28="","",((D28*100%)/$G$23)+H27)</f>
        <v>0.16666600000000001</v>
      </c>
      <c r="I28" s="572"/>
      <c r="J28" s="185"/>
      <c r="K28" s="185"/>
      <c r="M28" s="188"/>
    </row>
    <row r="29" spans="2:14" ht="15.6" customHeight="1" x14ac:dyDescent="0.2">
      <c r="B29" s="191" t="s">
        <v>115</v>
      </c>
      <c r="C29" s="280">
        <f t="shared" si="0"/>
        <v>2.4999900000000002E-2</v>
      </c>
      <c r="D29" s="281"/>
      <c r="E29" s="265">
        <f t="shared" si="1"/>
        <v>0</v>
      </c>
      <c r="F29" s="575"/>
      <c r="G29" s="575"/>
      <c r="H29" s="266" t="str">
        <f t="shared" ref="H29:H38" si="2">+IF(D29="","",((D29*100%)/$G$23)+H28)</f>
        <v/>
      </c>
      <c r="I29" s="572"/>
      <c r="J29" s="185"/>
      <c r="K29" s="185"/>
      <c r="M29" s="188"/>
    </row>
    <row r="30" spans="2:14" ht="15.6" customHeight="1" x14ac:dyDescent="0.2">
      <c r="B30" s="191" t="s">
        <v>116</v>
      </c>
      <c r="C30" s="280">
        <f t="shared" si="0"/>
        <v>2.4999900000000002E-2</v>
      </c>
      <c r="D30" s="281"/>
      <c r="E30" s="265">
        <f t="shared" si="1"/>
        <v>0</v>
      </c>
      <c r="F30" s="575"/>
      <c r="G30" s="575"/>
      <c r="H30" s="266" t="str">
        <f t="shared" si="2"/>
        <v/>
      </c>
      <c r="I30" s="572"/>
      <c r="J30" s="185"/>
      <c r="K30" s="185"/>
      <c r="M30" s="188"/>
    </row>
    <row r="31" spans="2:14" ht="15.6" customHeight="1" x14ac:dyDescent="0.2">
      <c r="B31" s="191" t="s">
        <v>117</v>
      </c>
      <c r="C31" s="280">
        <f t="shared" si="0"/>
        <v>2.4999900000000002E-2</v>
      </c>
      <c r="D31" s="281"/>
      <c r="E31" s="265">
        <f t="shared" si="1"/>
        <v>0</v>
      </c>
      <c r="F31" s="575"/>
      <c r="G31" s="575"/>
      <c r="H31" s="266" t="str">
        <f t="shared" si="2"/>
        <v/>
      </c>
      <c r="I31" s="572"/>
      <c r="J31" s="185"/>
      <c r="K31" s="185"/>
      <c r="M31" s="188"/>
    </row>
    <row r="32" spans="2:14" ht="15.6" customHeight="1" x14ac:dyDescent="0.2">
      <c r="B32" s="191" t="s">
        <v>118</v>
      </c>
      <c r="C32" s="280">
        <f t="shared" si="0"/>
        <v>2.4999900000000002E-2</v>
      </c>
      <c r="D32" s="281"/>
      <c r="E32" s="265">
        <f t="shared" si="1"/>
        <v>0</v>
      </c>
      <c r="F32" s="575"/>
      <c r="G32" s="575"/>
      <c r="H32" s="266" t="str">
        <f t="shared" si="2"/>
        <v/>
      </c>
      <c r="I32" s="572"/>
      <c r="J32" s="185"/>
      <c r="K32" s="185"/>
      <c r="M32" s="188"/>
    </row>
    <row r="33" spans="2:11" ht="19.5" customHeight="1" x14ac:dyDescent="0.2">
      <c r="B33" s="191" t="s">
        <v>119</v>
      </c>
      <c r="C33" s="280">
        <f t="shared" si="0"/>
        <v>2.4999900000000002E-2</v>
      </c>
      <c r="D33" s="281"/>
      <c r="E33" s="265">
        <f t="shared" si="1"/>
        <v>0</v>
      </c>
      <c r="F33" s="575"/>
      <c r="G33" s="575"/>
      <c r="H33" s="266" t="str">
        <f t="shared" si="2"/>
        <v/>
      </c>
      <c r="I33" s="572"/>
      <c r="J33" s="196"/>
      <c r="K33" s="196"/>
    </row>
    <row r="34" spans="2:11" ht="19.5" customHeight="1" x14ac:dyDescent="0.2">
      <c r="B34" s="191" t="s">
        <v>120</v>
      </c>
      <c r="C34" s="280">
        <f t="shared" si="0"/>
        <v>2.4999900000000002E-2</v>
      </c>
      <c r="D34" s="282"/>
      <c r="E34" s="265">
        <f t="shared" si="1"/>
        <v>0</v>
      </c>
      <c r="F34" s="575"/>
      <c r="G34" s="575"/>
      <c r="H34" s="266" t="str">
        <f t="shared" si="2"/>
        <v/>
      </c>
      <c r="I34" s="572"/>
      <c r="J34" s="196"/>
      <c r="K34" s="196"/>
    </row>
    <row r="35" spans="2:11" ht="19.5" customHeight="1" x14ac:dyDescent="0.2">
      <c r="B35" s="191" t="s">
        <v>121</v>
      </c>
      <c r="C35" s="280">
        <f t="shared" si="0"/>
        <v>2.4999900000000002E-2</v>
      </c>
      <c r="D35" s="283"/>
      <c r="E35" s="265">
        <f t="shared" si="1"/>
        <v>0</v>
      </c>
      <c r="F35" s="575"/>
      <c r="G35" s="575"/>
      <c r="H35" s="266" t="str">
        <f t="shared" si="2"/>
        <v/>
      </c>
      <c r="I35" s="572"/>
      <c r="J35" s="196"/>
      <c r="K35" s="196"/>
    </row>
    <row r="36" spans="2:11" ht="19.5" customHeight="1" x14ac:dyDescent="0.2">
      <c r="B36" s="191" t="s">
        <v>122</v>
      </c>
      <c r="C36" s="280">
        <f t="shared" si="0"/>
        <v>2.4999900000000002E-2</v>
      </c>
      <c r="D36" s="283"/>
      <c r="E36" s="265">
        <f t="shared" si="1"/>
        <v>0</v>
      </c>
      <c r="F36" s="575"/>
      <c r="G36" s="575"/>
      <c r="H36" s="266" t="str">
        <f t="shared" si="2"/>
        <v/>
      </c>
      <c r="I36" s="572"/>
      <c r="J36" s="196"/>
      <c r="K36" s="196"/>
    </row>
    <row r="37" spans="2:11" ht="19.5" customHeight="1" x14ac:dyDescent="0.2">
      <c r="B37" s="191" t="s">
        <v>123</v>
      </c>
      <c r="C37" s="280">
        <f t="shared" si="0"/>
        <v>2.4999900000000002E-2</v>
      </c>
      <c r="D37" s="282"/>
      <c r="E37" s="265">
        <f t="shared" si="1"/>
        <v>0</v>
      </c>
      <c r="F37" s="575"/>
      <c r="G37" s="575"/>
      <c r="H37" s="266" t="str">
        <f t="shared" si="2"/>
        <v/>
      </c>
      <c r="I37" s="572"/>
      <c r="J37" s="196"/>
      <c r="K37" s="196"/>
    </row>
    <row r="38" spans="2:11" ht="19.5" customHeight="1" x14ac:dyDescent="0.2">
      <c r="B38" s="191" t="s">
        <v>124</v>
      </c>
      <c r="C38" s="280">
        <f t="shared" si="0"/>
        <v>2.4999900000000002E-2</v>
      </c>
      <c r="D38" s="282"/>
      <c r="E38" s="265">
        <f t="shared" si="1"/>
        <v>0</v>
      </c>
      <c r="F38" s="576"/>
      <c r="G38" s="576"/>
      <c r="H38" s="266" t="str">
        <f t="shared" si="2"/>
        <v/>
      </c>
      <c r="I38" s="573"/>
      <c r="J38" s="196"/>
      <c r="K38" s="196"/>
    </row>
    <row r="39" spans="2:11" ht="52.5" customHeight="1" x14ac:dyDescent="0.2">
      <c r="B39" s="231" t="s">
        <v>277</v>
      </c>
      <c r="C39" s="559"/>
      <c r="D39" s="560"/>
      <c r="E39" s="560"/>
      <c r="F39" s="560"/>
      <c r="G39" s="560"/>
      <c r="H39" s="560"/>
      <c r="I39" s="561"/>
      <c r="J39" s="198"/>
      <c r="K39" s="198"/>
    </row>
    <row r="40" spans="2:11" ht="34.5" customHeight="1" x14ac:dyDescent="0.2">
      <c r="B40" s="562"/>
      <c r="C40" s="563"/>
      <c r="D40" s="563"/>
      <c r="E40" s="563"/>
      <c r="F40" s="563"/>
      <c r="G40" s="563"/>
      <c r="H40" s="563"/>
      <c r="I40" s="564"/>
      <c r="J40" s="175"/>
      <c r="K40" s="175"/>
    </row>
    <row r="41" spans="2:11" ht="34.5" customHeight="1" x14ac:dyDescent="0.2">
      <c r="B41" s="565"/>
      <c r="C41" s="566"/>
      <c r="D41" s="566"/>
      <c r="E41" s="566"/>
      <c r="F41" s="566"/>
      <c r="G41" s="566"/>
      <c r="H41" s="566"/>
      <c r="I41" s="567"/>
      <c r="J41" s="198"/>
      <c r="K41" s="198"/>
    </row>
    <row r="42" spans="2:11" ht="34.5" customHeight="1" x14ac:dyDescent="0.2">
      <c r="B42" s="565"/>
      <c r="C42" s="566"/>
      <c r="D42" s="566"/>
      <c r="E42" s="566"/>
      <c r="F42" s="566"/>
      <c r="G42" s="566"/>
      <c r="H42" s="566"/>
      <c r="I42" s="567"/>
      <c r="J42" s="198"/>
      <c r="K42" s="198"/>
    </row>
    <row r="43" spans="2:11" ht="34.5" customHeight="1" x14ac:dyDescent="0.2">
      <c r="B43" s="565"/>
      <c r="C43" s="566"/>
      <c r="D43" s="566"/>
      <c r="E43" s="566"/>
      <c r="F43" s="566"/>
      <c r="G43" s="566"/>
      <c r="H43" s="566"/>
      <c r="I43" s="567"/>
      <c r="J43" s="198"/>
      <c r="K43" s="198"/>
    </row>
    <row r="44" spans="2:11" ht="34.5" customHeight="1" x14ac:dyDescent="0.2">
      <c r="B44" s="568"/>
      <c r="C44" s="569"/>
      <c r="D44" s="569"/>
      <c r="E44" s="569"/>
      <c r="F44" s="569"/>
      <c r="G44" s="569"/>
      <c r="H44" s="569"/>
      <c r="I44" s="570"/>
      <c r="J44" s="174"/>
      <c r="K44" s="174"/>
    </row>
    <row r="45" spans="2:11" ht="232.9" customHeight="1" x14ac:dyDescent="0.2">
      <c r="B45" s="226" t="s">
        <v>278</v>
      </c>
      <c r="C45" s="585" t="s">
        <v>383</v>
      </c>
      <c r="D45" s="586"/>
      <c r="E45" s="586"/>
      <c r="F45" s="586"/>
      <c r="G45" s="586"/>
      <c r="H45" s="586"/>
      <c r="I45" s="587"/>
      <c r="J45" s="199"/>
      <c r="K45" s="199"/>
    </row>
    <row r="46" spans="2:11" ht="64.900000000000006" customHeight="1" x14ac:dyDescent="0.2">
      <c r="B46" s="226" t="s">
        <v>279</v>
      </c>
      <c r="C46" s="585" t="s">
        <v>223</v>
      </c>
      <c r="D46" s="586"/>
      <c r="E46" s="586"/>
      <c r="F46" s="586"/>
      <c r="G46" s="586"/>
      <c r="H46" s="586"/>
      <c r="I46" s="587"/>
      <c r="J46" s="199"/>
      <c r="K46" s="199"/>
    </row>
    <row r="47" spans="2:11" ht="109.15" customHeight="1" x14ac:dyDescent="0.2">
      <c r="B47" s="232" t="s">
        <v>280</v>
      </c>
      <c r="C47" s="588" t="s">
        <v>338</v>
      </c>
      <c r="D47" s="589"/>
      <c r="E47" s="589"/>
      <c r="F47" s="589"/>
      <c r="G47" s="589"/>
      <c r="H47" s="589"/>
      <c r="I47" s="590"/>
      <c r="J47" s="199"/>
      <c r="K47" s="199"/>
    </row>
    <row r="48" spans="2:11" ht="22.5" customHeight="1" x14ac:dyDescent="0.2">
      <c r="B48" s="510" t="s">
        <v>236</v>
      </c>
      <c r="C48" s="511"/>
      <c r="D48" s="511"/>
      <c r="E48" s="511"/>
      <c r="F48" s="511"/>
      <c r="G48" s="511"/>
      <c r="H48" s="511"/>
      <c r="I48" s="512"/>
      <c r="J48" s="199"/>
      <c r="K48" s="199"/>
    </row>
    <row r="49" spans="2:11" ht="22.5" customHeight="1" x14ac:dyDescent="0.2">
      <c r="B49" s="581" t="s">
        <v>281</v>
      </c>
      <c r="C49" s="220" t="s">
        <v>282</v>
      </c>
      <c r="D49" s="583" t="s">
        <v>283</v>
      </c>
      <c r="E49" s="583"/>
      <c r="F49" s="583"/>
      <c r="G49" s="583" t="s">
        <v>284</v>
      </c>
      <c r="H49" s="583"/>
      <c r="I49" s="584"/>
      <c r="J49" s="200"/>
      <c r="K49" s="200"/>
    </row>
    <row r="50" spans="2:11" ht="30.75" customHeight="1" x14ac:dyDescent="0.2">
      <c r="B50" s="582"/>
      <c r="C50" s="234"/>
      <c r="D50" s="608"/>
      <c r="E50" s="608"/>
      <c r="F50" s="608"/>
      <c r="G50" s="608"/>
      <c r="H50" s="608"/>
      <c r="I50" s="609"/>
      <c r="J50" s="200"/>
      <c r="K50" s="200"/>
    </row>
    <row r="51" spans="2:11" ht="32.25" customHeight="1" x14ac:dyDescent="0.2">
      <c r="B51" s="235" t="s">
        <v>285</v>
      </c>
      <c r="C51" s="608" t="s">
        <v>339</v>
      </c>
      <c r="D51" s="608"/>
      <c r="E51" s="608"/>
      <c r="F51" s="608"/>
      <c r="G51" s="608"/>
      <c r="H51" s="608"/>
      <c r="I51" s="609"/>
      <c r="J51" s="202"/>
      <c r="K51" s="202"/>
    </row>
    <row r="52" spans="2:11" ht="28.5" customHeight="1" x14ac:dyDescent="0.2">
      <c r="B52" s="236" t="s">
        <v>286</v>
      </c>
      <c r="C52" s="608" t="s">
        <v>340</v>
      </c>
      <c r="D52" s="608"/>
      <c r="E52" s="608"/>
      <c r="F52" s="608"/>
      <c r="G52" s="608"/>
      <c r="H52" s="608"/>
      <c r="I52" s="609"/>
      <c r="J52" s="202"/>
      <c r="K52" s="202"/>
    </row>
    <row r="53" spans="2:11" ht="30" customHeight="1" x14ac:dyDescent="0.2">
      <c r="B53" s="232" t="s">
        <v>287</v>
      </c>
      <c r="C53" s="608" t="s">
        <v>330</v>
      </c>
      <c r="D53" s="608"/>
      <c r="E53" s="608"/>
      <c r="F53" s="608"/>
      <c r="G53" s="608"/>
      <c r="H53" s="608"/>
      <c r="I53" s="609"/>
      <c r="J53" s="203"/>
      <c r="K53" s="203"/>
    </row>
    <row r="54" spans="2:11" ht="31.5" customHeight="1" thickBot="1" x14ac:dyDescent="0.25">
      <c r="B54" s="213" t="s">
        <v>288</v>
      </c>
      <c r="C54" s="610" t="s">
        <v>331</v>
      </c>
      <c r="D54" s="611"/>
      <c r="E54" s="611"/>
      <c r="F54" s="611"/>
      <c r="G54" s="611"/>
      <c r="H54" s="611"/>
      <c r="I54" s="612"/>
      <c r="J54" s="204"/>
      <c r="K54" s="204"/>
    </row>
    <row r="55" spans="2:11" x14ac:dyDescent="0.2">
      <c r="B55" s="205"/>
      <c r="C55" s="206"/>
      <c r="D55" s="206"/>
      <c r="E55" s="207"/>
      <c r="F55" s="207"/>
      <c r="G55" s="214"/>
      <c r="H55" s="209"/>
      <c r="I55" s="206"/>
      <c r="J55" s="204"/>
      <c r="K55" s="204"/>
    </row>
    <row r="56" spans="2:11" x14ac:dyDescent="0.2">
      <c r="B56" s="205"/>
      <c r="C56" s="206"/>
      <c r="D56" s="206"/>
      <c r="E56" s="207"/>
      <c r="F56" s="207"/>
      <c r="G56" s="214"/>
      <c r="H56" s="209"/>
      <c r="I56" s="206"/>
      <c r="J56" s="204"/>
      <c r="K56" s="204"/>
    </row>
    <row r="57" spans="2:11" x14ac:dyDescent="0.2">
      <c r="B57" s="205"/>
      <c r="C57" s="206"/>
      <c r="D57" s="206"/>
      <c r="E57" s="207"/>
      <c r="F57" s="207"/>
      <c r="G57" s="214"/>
      <c r="H57" s="209"/>
      <c r="I57" s="206"/>
      <c r="J57" s="204"/>
      <c r="K57" s="204"/>
    </row>
    <row r="58" spans="2:11" x14ac:dyDescent="0.2">
      <c r="B58" s="205"/>
      <c r="C58" s="206"/>
      <c r="D58" s="206"/>
      <c r="E58" s="207"/>
      <c r="F58" s="207"/>
      <c r="G58" s="214"/>
      <c r="H58" s="209"/>
      <c r="I58" s="206"/>
      <c r="J58" s="204"/>
      <c r="K58" s="204"/>
    </row>
    <row r="59" spans="2:11" x14ac:dyDescent="0.2">
      <c r="B59" s="205"/>
      <c r="C59" s="206"/>
      <c r="D59" s="206"/>
      <c r="E59" s="207"/>
      <c r="F59" s="207"/>
      <c r="G59" s="214"/>
      <c r="H59" s="209"/>
      <c r="I59" s="206"/>
      <c r="J59" s="204"/>
      <c r="K59" s="204"/>
    </row>
    <row r="60" spans="2:11" ht="25.5" customHeight="1" x14ac:dyDescent="0.2">
      <c r="B60" s="205"/>
      <c r="C60" s="206"/>
      <c r="D60" s="206"/>
      <c r="E60" s="207"/>
      <c r="F60" s="207"/>
      <c r="G60" s="214"/>
      <c r="H60" s="209"/>
      <c r="I60" s="206"/>
      <c r="J60" s="204"/>
      <c r="K60" s="204"/>
    </row>
  </sheetData>
  <sheetProtection algorithmName="SHA-512" hashValue="c/dcCTLdj/l37q7t9au6gDtL75RiTSTY4YrpqPiKSTTKmkrVoHjAizf18hqZDY4bDwN3kclWCLDkGneYvaGizw==" saltValue="AZGTC1qI+Bm32csb0dIX0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topLeftCell="A27" zoomScale="85" zoomScaleNormal="85" workbookViewId="0">
      <selection activeCell="H28" sqref="H28"/>
    </sheetView>
  </sheetViews>
  <sheetFormatPr baseColWidth="10" defaultColWidth="11.42578125" defaultRowHeight="12.75" x14ac:dyDescent="0.2"/>
  <cols>
    <col min="1" max="1" width="1" style="173" customWidth="1"/>
    <col min="2" max="2" width="25.42578125" style="210" customWidth="1"/>
    <col min="3" max="3" width="14.5703125" style="173" customWidth="1"/>
    <col min="4" max="4" width="20.140625" style="173" customWidth="1"/>
    <col min="5" max="5" width="16.42578125" style="173" customWidth="1"/>
    <col min="6" max="6" width="25" style="173" customWidth="1"/>
    <col min="7" max="7" width="22" style="211" customWidth="1"/>
    <col min="8" max="8" width="20.5703125" style="173" customWidth="1"/>
    <col min="9" max="11" width="22.42578125" style="173" customWidth="1"/>
    <col min="12" max="24" width="11.42578125" style="171"/>
    <col min="25" max="16384" width="11.42578125" style="173"/>
  </cols>
  <sheetData>
    <row r="1" spans="2:14" ht="37.5" customHeight="1" x14ac:dyDescent="0.2">
      <c r="B1" s="498"/>
      <c r="C1" s="501" t="s">
        <v>25</v>
      </c>
      <c r="D1" s="501"/>
      <c r="E1" s="501"/>
      <c r="F1" s="501"/>
      <c r="G1" s="501"/>
      <c r="H1" s="501"/>
      <c r="I1" s="502"/>
      <c r="J1" s="170"/>
      <c r="K1" s="170"/>
      <c r="M1" s="172" t="s">
        <v>47</v>
      </c>
    </row>
    <row r="2" spans="2:14" ht="37.5" customHeight="1" x14ac:dyDescent="0.2">
      <c r="B2" s="499"/>
      <c r="C2" s="613" t="s">
        <v>239</v>
      </c>
      <c r="D2" s="613"/>
      <c r="E2" s="613"/>
      <c r="F2" s="613"/>
      <c r="G2" s="613"/>
      <c r="H2" s="613"/>
      <c r="I2" s="503"/>
      <c r="J2" s="170"/>
      <c r="K2" s="170"/>
      <c r="M2" s="172" t="s">
        <v>48</v>
      </c>
    </row>
    <row r="3" spans="2:14" ht="37.5" customHeight="1" x14ac:dyDescent="0.2">
      <c r="B3" s="499"/>
      <c r="C3" s="613" t="s">
        <v>240</v>
      </c>
      <c r="D3" s="613"/>
      <c r="E3" s="613"/>
      <c r="F3" s="613" t="s">
        <v>241</v>
      </c>
      <c r="G3" s="613"/>
      <c r="H3" s="613"/>
      <c r="I3" s="503"/>
      <c r="J3" s="170"/>
      <c r="K3" s="170"/>
      <c r="M3" s="172" t="s">
        <v>50</v>
      </c>
    </row>
    <row r="4" spans="2:14" ht="23.25" customHeight="1" x14ac:dyDescent="0.2">
      <c r="B4" s="614"/>
      <c r="C4" s="615"/>
      <c r="D4" s="615"/>
      <c r="E4" s="615"/>
      <c r="F4" s="615"/>
      <c r="G4" s="615"/>
      <c r="H4" s="615"/>
      <c r="I4" s="616"/>
      <c r="J4" s="174"/>
      <c r="K4" s="174"/>
    </row>
    <row r="5" spans="2:14" ht="24" customHeight="1" x14ac:dyDescent="0.2">
      <c r="B5" s="510" t="s">
        <v>234</v>
      </c>
      <c r="C5" s="511"/>
      <c r="D5" s="511"/>
      <c r="E5" s="511"/>
      <c r="F5" s="511"/>
      <c r="G5" s="511"/>
      <c r="H5" s="511"/>
      <c r="I5" s="512"/>
      <c r="J5" s="175"/>
      <c r="K5" s="175"/>
      <c r="N5" s="176" t="s">
        <v>57</v>
      </c>
    </row>
    <row r="6" spans="2:14" ht="30.75" customHeight="1" x14ac:dyDescent="0.2">
      <c r="B6" s="226" t="s">
        <v>242</v>
      </c>
      <c r="C6" s="221">
        <v>3</v>
      </c>
      <c r="D6" s="513" t="s">
        <v>243</v>
      </c>
      <c r="E6" s="513"/>
      <c r="F6" s="514" t="s">
        <v>350</v>
      </c>
      <c r="G6" s="514"/>
      <c r="H6" s="514"/>
      <c r="I6" s="515"/>
      <c r="J6" s="177"/>
      <c r="K6" s="177"/>
      <c r="M6" s="172" t="s">
        <v>60</v>
      </c>
      <c r="N6" s="176" t="s">
        <v>61</v>
      </c>
    </row>
    <row r="7" spans="2:14" ht="30.75" customHeight="1" x14ac:dyDescent="0.2">
      <c r="B7" s="226" t="s">
        <v>244</v>
      </c>
      <c r="C7" s="221" t="s">
        <v>81</v>
      </c>
      <c r="D7" s="513" t="s">
        <v>245</v>
      </c>
      <c r="E7" s="513"/>
      <c r="F7" s="514" t="s">
        <v>351</v>
      </c>
      <c r="G7" s="514"/>
      <c r="H7" s="178" t="s">
        <v>246</v>
      </c>
      <c r="I7" s="222" t="s">
        <v>81</v>
      </c>
      <c r="J7" s="179"/>
      <c r="K7" s="179"/>
      <c r="M7" s="172" t="s">
        <v>65</v>
      </c>
      <c r="N7" s="176" t="s">
        <v>66</v>
      </c>
    </row>
    <row r="8" spans="2:14" ht="30.75" customHeight="1" x14ac:dyDescent="0.2">
      <c r="B8" s="226" t="s">
        <v>247</v>
      </c>
      <c r="C8" s="514" t="s">
        <v>289</v>
      </c>
      <c r="D8" s="514"/>
      <c r="E8" s="514"/>
      <c r="F8" s="514"/>
      <c r="G8" s="178" t="s">
        <v>248</v>
      </c>
      <c r="H8" s="519">
        <v>7550</v>
      </c>
      <c r="I8" s="520"/>
      <c r="J8" s="180"/>
      <c r="K8" s="180"/>
      <c r="M8" s="172" t="s">
        <v>69</v>
      </c>
      <c r="N8" s="176" t="s">
        <v>70</v>
      </c>
    </row>
    <row r="9" spans="2:14" ht="30.75" customHeight="1" x14ac:dyDescent="0.2">
      <c r="B9" s="226" t="s">
        <v>48</v>
      </c>
      <c r="C9" s="617" t="s">
        <v>69</v>
      </c>
      <c r="D9" s="617"/>
      <c r="E9" s="617"/>
      <c r="F9" s="617"/>
      <c r="G9" s="178" t="s">
        <v>249</v>
      </c>
      <c r="H9" s="522" t="s">
        <v>352</v>
      </c>
      <c r="I9" s="523"/>
      <c r="J9" s="181"/>
      <c r="K9" s="181"/>
      <c r="M9" s="182" t="s">
        <v>73</v>
      </c>
    </row>
    <row r="10" spans="2:14" ht="60.75" customHeight="1" x14ac:dyDescent="0.2">
      <c r="B10" s="226" t="s">
        <v>250</v>
      </c>
      <c r="C10" s="514" t="s">
        <v>379</v>
      </c>
      <c r="D10" s="514"/>
      <c r="E10" s="514"/>
      <c r="F10" s="514"/>
      <c r="G10" s="514"/>
      <c r="H10" s="514"/>
      <c r="I10" s="515"/>
      <c r="J10" s="183"/>
      <c r="K10" s="183"/>
      <c r="M10" s="182"/>
    </row>
    <row r="11" spans="2:14" ht="30.75" customHeight="1" x14ac:dyDescent="0.2">
      <c r="B11" s="226" t="s">
        <v>251</v>
      </c>
      <c r="C11" s="514" t="s">
        <v>291</v>
      </c>
      <c r="D11" s="514"/>
      <c r="E11" s="514"/>
      <c r="F11" s="514"/>
      <c r="G11" s="514"/>
      <c r="H11" s="514"/>
      <c r="I11" s="515"/>
      <c r="J11" s="179"/>
      <c r="K11" s="179"/>
      <c r="M11" s="182"/>
      <c r="N11" s="176" t="s">
        <v>76</v>
      </c>
    </row>
    <row r="12" spans="2:14" ht="30.75" customHeight="1" x14ac:dyDescent="0.2">
      <c r="B12" s="226" t="s">
        <v>254</v>
      </c>
      <c r="C12" s="517" t="s">
        <v>353</v>
      </c>
      <c r="D12" s="517"/>
      <c r="E12" s="517"/>
      <c r="F12" s="517"/>
      <c r="G12" s="178" t="s">
        <v>252</v>
      </c>
      <c r="H12" s="517" t="s">
        <v>91</v>
      </c>
      <c r="I12" s="518"/>
      <c r="J12" s="179"/>
      <c r="K12" s="179"/>
      <c r="M12" s="182" t="s">
        <v>80</v>
      </c>
      <c r="N12" s="176" t="s">
        <v>81</v>
      </c>
    </row>
    <row r="13" spans="2:14" ht="30.75" customHeight="1" x14ac:dyDescent="0.2">
      <c r="B13" s="226" t="s">
        <v>255</v>
      </c>
      <c r="C13" s="618" t="s">
        <v>354</v>
      </c>
      <c r="D13" s="618"/>
      <c r="E13" s="618"/>
      <c r="F13" s="618"/>
      <c r="G13" s="178" t="s">
        <v>253</v>
      </c>
      <c r="H13" s="514" t="s">
        <v>70</v>
      </c>
      <c r="I13" s="515"/>
      <c r="J13" s="179"/>
      <c r="K13" s="179"/>
      <c r="M13" s="182" t="s">
        <v>84</v>
      </c>
    </row>
    <row r="14" spans="2:14" ht="64.5" customHeight="1" x14ac:dyDescent="0.2">
      <c r="B14" s="226" t="s">
        <v>256</v>
      </c>
      <c r="C14" s="619" t="s">
        <v>355</v>
      </c>
      <c r="D14" s="619"/>
      <c r="E14" s="619"/>
      <c r="F14" s="619"/>
      <c r="G14" s="619"/>
      <c r="H14" s="619"/>
      <c r="I14" s="620"/>
      <c r="J14" s="183"/>
      <c r="K14" s="183"/>
      <c r="M14" s="182" t="s">
        <v>86</v>
      </c>
      <c r="N14" s="176"/>
    </row>
    <row r="15" spans="2:14" ht="30.75" customHeight="1" x14ac:dyDescent="0.2">
      <c r="B15" s="226" t="s">
        <v>257</v>
      </c>
      <c r="C15" s="517" t="s">
        <v>356</v>
      </c>
      <c r="D15" s="517"/>
      <c r="E15" s="517"/>
      <c r="F15" s="517"/>
      <c r="G15" s="517"/>
      <c r="H15" s="517"/>
      <c r="I15" s="518"/>
      <c r="J15" s="184"/>
      <c r="K15" s="184"/>
      <c r="M15" s="182" t="s">
        <v>88</v>
      </c>
      <c r="N15" s="176"/>
    </row>
    <row r="16" spans="2:14" ht="20.25" customHeight="1" x14ac:dyDescent="0.2">
      <c r="B16" s="226" t="s">
        <v>258</v>
      </c>
      <c r="C16" s="514" t="s">
        <v>357</v>
      </c>
      <c r="D16" s="514"/>
      <c r="E16" s="514"/>
      <c r="F16" s="514"/>
      <c r="G16" s="514"/>
      <c r="H16" s="514"/>
      <c r="I16" s="515"/>
      <c r="J16" s="185"/>
      <c r="K16" s="185"/>
      <c r="M16" s="182"/>
      <c r="N16" s="176"/>
    </row>
    <row r="17" spans="2:14" ht="30.75" customHeight="1" x14ac:dyDescent="0.2">
      <c r="B17" s="226" t="s">
        <v>259</v>
      </c>
      <c r="C17" s="514" t="s">
        <v>152</v>
      </c>
      <c r="D17" s="626"/>
      <c r="E17" s="626"/>
      <c r="F17" s="626"/>
      <c r="G17" s="626"/>
      <c r="H17" s="626"/>
      <c r="I17" s="627"/>
      <c r="J17" s="186"/>
      <c r="K17" s="186"/>
      <c r="M17" s="182" t="s">
        <v>91</v>
      </c>
      <c r="N17" s="176"/>
    </row>
    <row r="18" spans="2:14" ht="18" customHeight="1" x14ac:dyDescent="0.2">
      <c r="B18" s="537" t="s">
        <v>265</v>
      </c>
      <c r="C18" s="538" t="s">
        <v>237</v>
      </c>
      <c r="D18" s="538"/>
      <c r="E18" s="538"/>
      <c r="F18" s="539" t="s">
        <v>238</v>
      </c>
      <c r="G18" s="539"/>
      <c r="H18" s="539"/>
      <c r="I18" s="540"/>
      <c r="J18" s="187"/>
      <c r="K18" s="187"/>
      <c r="M18" s="182" t="s">
        <v>79</v>
      </c>
      <c r="N18" s="176"/>
    </row>
    <row r="19" spans="2:14" ht="39.75" customHeight="1" x14ac:dyDescent="0.2">
      <c r="B19" s="537"/>
      <c r="C19" s="514" t="s">
        <v>358</v>
      </c>
      <c r="D19" s="514"/>
      <c r="E19" s="514"/>
      <c r="F19" s="514" t="s">
        <v>359</v>
      </c>
      <c r="G19" s="514"/>
      <c r="H19" s="514"/>
      <c r="I19" s="515"/>
      <c r="J19" s="185"/>
      <c r="K19" s="185"/>
      <c r="M19" s="182" t="s">
        <v>95</v>
      </c>
      <c r="N19" s="176"/>
    </row>
    <row r="20" spans="2:14" ht="39.75" customHeight="1" x14ac:dyDescent="0.2">
      <c r="B20" s="226" t="s">
        <v>266</v>
      </c>
      <c r="C20" s="549" t="s">
        <v>152</v>
      </c>
      <c r="D20" s="550"/>
      <c r="E20" s="622"/>
      <c r="F20" s="517" t="s">
        <v>152</v>
      </c>
      <c r="G20" s="517"/>
      <c r="H20" s="517"/>
      <c r="I20" s="518"/>
      <c r="J20" s="179"/>
      <c r="K20" s="179"/>
      <c r="M20" s="182"/>
      <c r="N20" s="176"/>
    </row>
    <row r="21" spans="2:14" ht="42" customHeight="1" x14ac:dyDescent="0.2">
      <c r="B21" s="226" t="s">
        <v>267</v>
      </c>
      <c r="C21" s="546" t="s">
        <v>360</v>
      </c>
      <c r="D21" s="547"/>
      <c r="E21" s="548"/>
      <c r="F21" s="549" t="s">
        <v>361</v>
      </c>
      <c r="G21" s="550"/>
      <c r="H21" s="550"/>
      <c r="I21" s="551"/>
      <c r="J21" s="184"/>
      <c r="K21" s="184"/>
      <c r="M21" s="188"/>
      <c r="N21" s="176"/>
    </row>
    <row r="22" spans="2:14" ht="23.25" customHeight="1" x14ac:dyDescent="0.2">
      <c r="B22" s="226" t="s">
        <v>268</v>
      </c>
      <c r="C22" s="621">
        <v>44197</v>
      </c>
      <c r="D22" s="628"/>
      <c r="E22" s="629"/>
      <c r="F22" s="178" t="s">
        <v>271</v>
      </c>
      <c r="G22" s="277">
        <v>0.1</v>
      </c>
      <c r="H22" s="178" t="s">
        <v>275</v>
      </c>
      <c r="I22" s="278">
        <v>0.1</v>
      </c>
      <c r="J22" s="189"/>
      <c r="K22" s="189"/>
      <c r="M22" s="188"/>
    </row>
    <row r="23" spans="2:14" ht="27" customHeight="1" x14ac:dyDescent="0.2">
      <c r="B23" s="226" t="s">
        <v>269</v>
      </c>
      <c r="C23" s="621">
        <v>44561</v>
      </c>
      <c r="D23" s="550"/>
      <c r="E23" s="622"/>
      <c r="F23" s="178" t="s">
        <v>272</v>
      </c>
      <c r="G23" s="623">
        <v>0.4</v>
      </c>
      <c r="H23" s="624"/>
      <c r="I23" s="625"/>
      <c r="J23" s="190"/>
      <c r="K23" s="190"/>
      <c r="M23" s="188"/>
    </row>
    <row r="24" spans="2:14" ht="30.75" customHeight="1" x14ac:dyDescent="0.2">
      <c r="B24" s="233" t="s">
        <v>270</v>
      </c>
      <c r="C24" s="630" t="s">
        <v>88</v>
      </c>
      <c r="D24" s="631"/>
      <c r="E24" s="632"/>
      <c r="F24" s="229" t="s">
        <v>274</v>
      </c>
      <c r="G24" s="549"/>
      <c r="H24" s="550"/>
      <c r="I24" s="551"/>
      <c r="J24" s="187"/>
      <c r="K24" s="187"/>
      <c r="M24" s="188"/>
    </row>
    <row r="25" spans="2:14" ht="22.5" customHeight="1" x14ac:dyDescent="0.2">
      <c r="B25" s="633" t="s">
        <v>235</v>
      </c>
      <c r="C25" s="634"/>
      <c r="D25" s="634"/>
      <c r="E25" s="634"/>
      <c r="F25" s="634"/>
      <c r="G25" s="634"/>
      <c r="H25" s="634"/>
      <c r="I25" s="635"/>
      <c r="J25" s="175"/>
      <c r="K25" s="175"/>
      <c r="M25" s="188"/>
    </row>
    <row r="26" spans="2:14" ht="43.5" customHeight="1" x14ac:dyDescent="0.2">
      <c r="B26" s="191" t="s">
        <v>105</v>
      </c>
      <c r="C26" s="223" t="s">
        <v>261</v>
      </c>
      <c r="D26" s="223" t="s">
        <v>260</v>
      </c>
      <c r="E26" s="192" t="s">
        <v>264</v>
      </c>
      <c r="F26" s="223" t="s">
        <v>263</v>
      </c>
      <c r="G26" s="223" t="s">
        <v>262</v>
      </c>
      <c r="H26" s="192" t="s">
        <v>362</v>
      </c>
      <c r="I26" s="193" t="s">
        <v>273</v>
      </c>
      <c r="J26" s="185"/>
      <c r="K26" s="185"/>
      <c r="M26" s="188"/>
    </row>
    <row r="27" spans="2:14" ht="19.5" customHeight="1" x14ac:dyDescent="0.2">
      <c r="B27" s="194" t="s">
        <v>113</v>
      </c>
      <c r="C27" s="195">
        <f>6.9%*G23</f>
        <v>2.7600000000000003E-2</v>
      </c>
      <c r="D27" s="279">
        <v>2.7600000000000003E-2</v>
      </c>
      <c r="E27" s="265">
        <f>IF(OR(C27=0,C27=""),0,D27/C27)</f>
        <v>1</v>
      </c>
      <c r="F27" s="574">
        <f>SUM(C27:C38)</f>
        <v>0.40000000000000008</v>
      </c>
      <c r="G27" s="574">
        <f>SUM(D27:D38)</f>
        <v>4.4800000000000006E-2</v>
      </c>
      <c r="H27" s="266">
        <f>+(D27*100%)/$G$23</f>
        <v>6.9000000000000006E-2</v>
      </c>
      <c r="I27" s="571">
        <f>G27+I22</f>
        <v>0.14480000000000001</v>
      </c>
      <c r="J27" s="196"/>
      <c r="K27" s="196"/>
      <c r="M27" s="188"/>
    </row>
    <row r="28" spans="2:14" ht="19.5" customHeight="1" x14ac:dyDescent="0.2">
      <c r="B28" s="194" t="s">
        <v>114</v>
      </c>
      <c r="C28" s="195">
        <f>4.3%*G23</f>
        <v>1.72E-2</v>
      </c>
      <c r="D28" s="279">
        <v>1.72E-2</v>
      </c>
      <c r="E28" s="265">
        <f t="shared" ref="E28:E38" si="0">IF(OR(C28=0,C28=""),0,D28/C28)</f>
        <v>1</v>
      </c>
      <c r="F28" s="575"/>
      <c r="G28" s="575"/>
      <c r="H28" s="266">
        <f>+IF(D28="","",((D28*100%)/$G$23)+H27)</f>
        <v>0.112</v>
      </c>
      <c r="I28" s="572"/>
      <c r="J28" s="196"/>
      <c r="K28" s="196"/>
      <c r="M28" s="188"/>
    </row>
    <row r="29" spans="2:14" ht="19.5" customHeight="1" x14ac:dyDescent="0.2">
      <c r="B29" s="194" t="s">
        <v>115</v>
      </c>
      <c r="C29" s="197">
        <f>4.6%*G23</f>
        <v>1.84E-2</v>
      </c>
      <c r="D29" s="279"/>
      <c r="E29" s="265">
        <f t="shared" si="0"/>
        <v>0</v>
      </c>
      <c r="F29" s="575"/>
      <c r="G29" s="575"/>
      <c r="H29" s="266" t="str">
        <f t="shared" ref="H29:H38" si="1">+IF(D29="","",((D29*100%)/$G$23)+H28)</f>
        <v/>
      </c>
      <c r="I29" s="572"/>
      <c r="J29" s="196"/>
      <c r="K29" s="196"/>
      <c r="M29" s="188"/>
    </row>
    <row r="30" spans="2:14" ht="19.5" customHeight="1" x14ac:dyDescent="0.2">
      <c r="B30" s="194" t="s">
        <v>116</v>
      </c>
      <c r="C30" s="197">
        <f>7.6%*G23</f>
        <v>3.04E-2</v>
      </c>
      <c r="D30" s="279"/>
      <c r="E30" s="265">
        <f t="shared" si="0"/>
        <v>0</v>
      </c>
      <c r="F30" s="575"/>
      <c r="G30" s="575"/>
      <c r="H30" s="266" t="str">
        <f t="shared" si="1"/>
        <v/>
      </c>
      <c r="I30" s="572"/>
      <c r="J30" s="196"/>
      <c r="K30" s="196"/>
    </row>
    <row r="31" spans="2:14" ht="19.5" customHeight="1" x14ac:dyDescent="0.2">
      <c r="B31" s="194" t="s">
        <v>117</v>
      </c>
      <c r="C31" s="197">
        <f>4.3%*G23</f>
        <v>1.72E-2</v>
      </c>
      <c r="D31" s="279"/>
      <c r="E31" s="265">
        <f t="shared" si="0"/>
        <v>0</v>
      </c>
      <c r="F31" s="575"/>
      <c r="G31" s="575"/>
      <c r="H31" s="266" t="str">
        <f t="shared" si="1"/>
        <v/>
      </c>
      <c r="I31" s="572"/>
      <c r="J31" s="196"/>
      <c r="K31" s="196"/>
    </row>
    <row r="32" spans="2:14" ht="19.5" customHeight="1" x14ac:dyDescent="0.2">
      <c r="B32" s="194" t="s">
        <v>118</v>
      </c>
      <c r="C32" s="197">
        <f>4.6%*G23</f>
        <v>1.84E-2</v>
      </c>
      <c r="D32" s="279"/>
      <c r="E32" s="265">
        <f t="shared" si="0"/>
        <v>0</v>
      </c>
      <c r="F32" s="575"/>
      <c r="G32" s="575"/>
      <c r="H32" s="266" t="str">
        <f t="shared" si="1"/>
        <v/>
      </c>
      <c r="I32" s="572"/>
      <c r="J32" s="196"/>
      <c r="K32" s="196"/>
    </row>
    <row r="33" spans="2:11" ht="19.5" customHeight="1" x14ac:dyDescent="0.2">
      <c r="B33" s="194" t="s">
        <v>119</v>
      </c>
      <c r="C33" s="197">
        <f>7.6%*G23</f>
        <v>3.04E-2</v>
      </c>
      <c r="D33" s="279"/>
      <c r="E33" s="265">
        <f t="shared" si="0"/>
        <v>0</v>
      </c>
      <c r="F33" s="575"/>
      <c r="G33" s="575"/>
      <c r="H33" s="266" t="str">
        <f t="shared" si="1"/>
        <v/>
      </c>
      <c r="I33" s="572"/>
      <c r="J33" s="196"/>
      <c r="K33" s="196"/>
    </row>
    <row r="34" spans="2:11" ht="19.5" customHeight="1" x14ac:dyDescent="0.2">
      <c r="B34" s="194" t="s">
        <v>120</v>
      </c>
      <c r="C34" s="197">
        <f>6.8%*G23</f>
        <v>2.7200000000000002E-2</v>
      </c>
      <c r="D34" s="279"/>
      <c r="E34" s="265">
        <f t="shared" si="0"/>
        <v>0</v>
      </c>
      <c r="F34" s="575"/>
      <c r="G34" s="575"/>
      <c r="H34" s="266" t="str">
        <f t="shared" si="1"/>
        <v/>
      </c>
      <c r="I34" s="572"/>
      <c r="J34" s="196"/>
      <c r="K34" s="196"/>
    </row>
    <row r="35" spans="2:11" ht="19.5" customHeight="1" x14ac:dyDescent="0.2">
      <c r="B35" s="194" t="s">
        <v>121</v>
      </c>
      <c r="C35" s="197">
        <f>15.6%*G23</f>
        <v>6.2400000000000004E-2</v>
      </c>
      <c r="D35" s="279"/>
      <c r="E35" s="265">
        <f t="shared" si="0"/>
        <v>0</v>
      </c>
      <c r="F35" s="575"/>
      <c r="G35" s="575"/>
      <c r="H35" s="266" t="str">
        <f t="shared" si="1"/>
        <v/>
      </c>
      <c r="I35" s="572"/>
      <c r="J35" s="196"/>
      <c r="K35" s="196"/>
    </row>
    <row r="36" spans="2:11" ht="19.5" customHeight="1" x14ac:dyDescent="0.2">
      <c r="B36" s="194" t="s">
        <v>122</v>
      </c>
      <c r="C36" s="197">
        <f>23.3%*G23</f>
        <v>9.3200000000000005E-2</v>
      </c>
      <c r="D36" s="279"/>
      <c r="E36" s="265">
        <f t="shared" si="0"/>
        <v>0</v>
      </c>
      <c r="F36" s="575"/>
      <c r="G36" s="575"/>
      <c r="H36" s="266" t="str">
        <f t="shared" si="1"/>
        <v/>
      </c>
      <c r="I36" s="572"/>
      <c r="J36" s="196"/>
      <c r="K36" s="196"/>
    </row>
    <row r="37" spans="2:11" ht="19.5" customHeight="1" x14ac:dyDescent="0.2">
      <c r="B37" s="194" t="s">
        <v>123</v>
      </c>
      <c r="C37" s="197">
        <f>9.4%*G23</f>
        <v>3.7600000000000001E-2</v>
      </c>
      <c r="D37" s="279"/>
      <c r="E37" s="265">
        <f t="shared" si="0"/>
        <v>0</v>
      </c>
      <c r="F37" s="575"/>
      <c r="G37" s="575"/>
      <c r="H37" s="266" t="str">
        <f t="shared" si="1"/>
        <v/>
      </c>
      <c r="I37" s="572"/>
      <c r="J37" s="196"/>
      <c r="K37" s="196"/>
    </row>
    <row r="38" spans="2:11" ht="19.5" customHeight="1" x14ac:dyDescent="0.2">
      <c r="B38" s="194" t="s">
        <v>124</v>
      </c>
      <c r="C38" s="197">
        <f>5%*G23</f>
        <v>2.0000000000000004E-2</v>
      </c>
      <c r="D38" s="279"/>
      <c r="E38" s="265">
        <f t="shared" si="0"/>
        <v>0</v>
      </c>
      <c r="F38" s="576"/>
      <c r="G38" s="576"/>
      <c r="H38" s="266" t="str">
        <f t="shared" si="1"/>
        <v/>
      </c>
      <c r="I38" s="573"/>
      <c r="J38" s="196"/>
      <c r="K38" s="196"/>
    </row>
    <row r="39" spans="2:11" ht="130.5" customHeight="1" x14ac:dyDescent="0.2">
      <c r="B39" s="231" t="s">
        <v>277</v>
      </c>
      <c r="C39" s="585" t="s">
        <v>384</v>
      </c>
      <c r="D39" s="586"/>
      <c r="E39" s="586"/>
      <c r="F39" s="586"/>
      <c r="G39" s="586"/>
      <c r="H39" s="586"/>
      <c r="I39" s="587"/>
      <c r="J39" s="198"/>
      <c r="K39" s="198"/>
    </row>
    <row r="40" spans="2:11" ht="34.5" customHeight="1" x14ac:dyDescent="0.2">
      <c r="B40" s="562"/>
      <c r="C40" s="563"/>
      <c r="D40" s="563"/>
      <c r="E40" s="563"/>
      <c r="F40" s="563"/>
      <c r="G40" s="563"/>
      <c r="H40" s="563"/>
      <c r="I40" s="564"/>
      <c r="J40" s="175"/>
      <c r="K40" s="175"/>
    </row>
    <row r="41" spans="2:11" ht="34.5" customHeight="1" x14ac:dyDescent="0.2">
      <c r="B41" s="565"/>
      <c r="C41" s="566"/>
      <c r="D41" s="566"/>
      <c r="E41" s="566"/>
      <c r="F41" s="566"/>
      <c r="G41" s="566"/>
      <c r="H41" s="566"/>
      <c r="I41" s="567"/>
      <c r="J41" s="198"/>
      <c r="K41" s="198"/>
    </row>
    <row r="42" spans="2:11" ht="34.5" customHeight="1" x14ac:dyDescent="0.2">
      <c r="B42" s="565"/>
      <c r="C42" s="566"/>
      <c r="D42" s="566"/>
      <c r="E42" s="566"/>
      <c r="F42" s="566"/>
      <c r="G42" s="566"/>
      <c r="H42" s="566"/>
      <c r="I42" s="567"/>
      <c r="J42" s="198"/>
      <c r="K42" s="198"/>
    </row>
    <row r="43" spans="2:11" ht="34.5" customHeight="1" x14ac:dyDescent="0.2">
      <c r="B43" s="565"/>
      <c r="C43" s="566"/>
      <c r="D43" s="566"/>
      <c r="E43" s="566"/>
      <c r="F43" s="566"/>
      <c r="G43" s="566"/>
      <c r="H43" s="566"/>
      <c r="I43" s="567"/>
      <c r="J43" s="198"/>
      <c r="K43" s="198"/>
    </row>
    <row r="44" spans="2:11" ht="34.5" customHeight="1" x14ac:dyDescent="0.2">
      <c r="B44" s="568"/>
      <c r="C44" s="569"/>
      <c r="D44" s="569"/>
      <c r="E44" s="569"/>
      <c r="F44" s="569"/>
      <c r="G44" s="569"/>
      <c r="H44" s="569"/>
      <c r="I44" s="570"/>
      <c r="J44" s="174"/>
      <c r="K44" s="174"/>
    </row>
    <row r="45" spans="2:11" ht="149.44999999999999" customHeight="1" x14ac:dyDescent="0.2">
      <c r="B45" s="226" t="s">
        <v>278</v>
      </c>
      <c r="C45" s="641" t="s">
        <v>385</v>
      </c>
      <c r="D45" s="642"/>
      <c r="E45" s="642"/>
      <c r="F45" s="642"/>
      <c r="G45" s="642"/>
      <c r="H45" s="642"/>
      <c r="I45" s="643"/>
      <c r="J45" s="199"/>
      <c r="K45" s="199"/>
    </row>
    <row r="46" spans="2:11" ht="32.25" customHeight="1" x14ac:dyDescent="0.2">
      <c r="B46" s="226" t="s">
        <v>279</v>
      </c>
      <c r="C46" s="641"/>
      <c r="D46" s="642"/>
      <c r="E46" s="642"/>
      <c r="F46" s="642"/>
      <c r="G46" s="642"/>
      <c r="H46" s="642"/>
      <c r="I46" s="643"/>
      <c r="J46" s="199"/>
      <c r="K46" s="199"/>
    </row>
    <row r="47" spans="2:11" ht="66" customHeight="1" x14ac:dyDescent="0.2">
      <c r="B47" s="232" t="s">
        <v>280</v>
      </c>
      <c r="C47" s="644" t="s">
        <v>363</v>
      </c>
      <c r="D47" s="645"/>
      <c r="E47" s="645"/>
      <c r="F47" s="645"/>
      <c r="G47" s="645"/>
      <c r="H47" s="645"/>
      <c r="I47" s="646"/>
      <c r="J47" s="199"/>
      <c r="K47" s="199"/>
    </row>
    <row r="48" spans="2:11" ht="22.5" customHeight="1" x14ac:dyDescent="0.2">
      <c r="B48" s="633" t="s">
        <v>236</v>
      </c>
      <c r="C48" s="634"/>
      <c r="D48" s="634"/>
      <c r="E48" s="634"/>
      <c r="F48" s="634"/>
      <c r="G48" s="634"/>
      <c r="H48" s="634"/>
      <c r="I48" s="635"/>
      <c r="J48" s="199"/>
      <c r="K48" s="199"/>
    </row>
    <row r="49" spans="2:11" ht="22.5" customHeight="1" x14ac:dyDescent="0.2">
      <c r="B49" s="581" t="s">
        <v>281</v>
      </c>
      <c r="C49" s="220" t="s">
        <v>282</v>
      </c>
      <c r="D49" s="583" t="s">
        <v>283</v>
      </c>
      <c r="E49" s="583"/>
      <c r="F49" s="583"/>
      <c r="G49" s="583" t="s">
        <v>284</v>
      </c>
      <c r="H49" s="583"/>
      <c r="I49" s="584"/>
      <c r="J49" s="200"/>
      <c r="K49" s="200"/>
    </row>
    <row r="50" spans="2:11" ht="30.75" customHeight="1" x14ac:dyDescent="0.2">
      <c r="B50" s="582"/>
      <c r="C50" s="201"/>
      <c r="D50" s="608"/>
      <c r="E50" s="608"/>
      <c r="F50" s="608"/>
      <c r="G50" s="608"/>
      <c r="H50" s="608"/>
      <c r="I50" s="609"/>
      <c r="J50" s="200"/>
      <c r="K50" s="200"/>
    </row>
    <row r="51" spans="2:11" ht="32.25" customHeight="1" x14ac:dyDescent="0.2">
      <c r="B51" s="235" t="s">
        <v>285</v>
      </c>
      <c r="C51" s="637" t="s">
        <v>351</v>
      </c>
      <c r="D51" s="637"/>
      <c r="E51" s="637"/>
      <c r="F51" s="637"/>
      <c r="G51" s="637"/>
      <c r="H51" s="637"/>
      <c r="I51" s="638"/>
      <c r="J51" s="202"/>
      <c r="K51" s="202"/>
    </row>
    <row r="52" spans="2:11" ht="28.5" customHeight="1" x14ac:dyDescent="0.2">
      <c r="B52" s="236" t="s">
        <v>286</v>
      </c>
      <c r="C52" s="541" t="s">
        <v>364</v>
      </c>
      <c r="D52" s="542"/>
      <c r="E52" s="542"/>
      <c r="F52" s="542"/>
      <c r="G52" s="542"/>
      <c r="H52" s="542"/>
      <c r="I52" s="636"/>
      <c r="J52" s="202"/>
      <c r="K52" s="202"/>
    </row>
    <row r="53" spans="2:11" ht="30" customHeight="1" x14ac:dyDescent="0.2">
      <c r="B53" s="232" t="s">
        <v>287</v>
      </c>
      <c r="C53" s="637" t="s">
        <v>365</v>
      </c>
      <c r="D53" s="637"/>
      <c r="E53" s="637"/>
      <c r="F53" s="637"/>
      <c r="G53" s="637"/>
      <c r="H53" s="637"/>
      <c r="I53" s="638"/>
      <c r="J53" s="203"/>
      <c r="K53" s="203"/>
    </row>
    <row r="54" spans="2:11" ht="31.5" customHeight="1" thickBot="1" x14ac:dyDescent="0.25">
      <c r="B54" s="213" t="s">
        <v>288</v>
      </c>
      <c r="C54" s="639"/>
      <c r="D54" s="639"/>
      <c r="E54" s="639"/>
      <c r="F54" s="639"/>
      <c r="G54" s="639"/>
      <c r="H54" s="639"/>
      <c r="I54" s="640"/>
      <c r="J54" s="204"/>
      <c r="K54" s="204"/>
    </row>
    <row r="55" spans="2:11" ht="12.75" customHeight="1" x14ac:dyDescent="0.2">
      <c r="B55" s="205"/>
      <c r="C55" s="206"/>
      <c r="D55" s="206"/>
      <c r="E55" s="207"/>
      <c r="F55" s="207"/>
      <c r="G55" s="208"/>
      <c r="H55" s="209"/>
      <c r="I55" s="206"/>
      <c r="J55" s="204"/>
      <c r="K55" s="204"/>
    </row>
    <row r="56" spans="2:11" x14ac:dyDescent="0.2">
      <c r="B56" s="205"/>
      <c r="C56" s="206"/>
      <c r="D56" s="206"/>
      <c r="E56" s="207"/>
      <c r="F56" s="207"/>
      <c r="G56" s="208"/>
      <c r="H56" s="209"/>
      <c r="I56" s="206"/>
      <c r="J56" s="204"/>
      <c r="K56" s="204"/>
    </row>
    <row r="57" spans="2:11" x14ac:dyDescent="0.2">
      <c r="B57" s="205"/>
      <c r="C57" s="206"/>
      <c r="D57" s="206"/>
      <c r="E57" s="207"/>
      <c r="F57" s="207"/>
      <c r="G57" s="208"/>
      <c r="H57" s="209"/>
      <c r="I57" s="206"/>
      <c r="J57" s="204"/>
      <c r="K57" s="204"/>
    </row>
    <row r="58" spans="2:11" x14ac:dyDescent="0.2">
      <c r="B58" s="205"/>
      <c r="C58" s="206"/>
      <c r="D58" s="206"/>
      <c r="E58" s="207"/>
      <c r="F58" s="207"/>
      <c r="G58" s="208"/>
      <c r="H58" s="209"/>
      <c r="I58" s="206"/>
      <c r="J58" s="204"/>
      <c r="K58" s="204"/>
    </row>
    <row r="59" spans="2:11" x14ac:dyDescent="0.2">
      <c r="B59" s="205"/>
      <c r="C59" s="206"/>
      <c r="D59" s="206"/>
      <c r="E59" s="207"/>
      <c r="F59" s="207"/>
      <c r="G59" s="208"/>
      <c r="H59" s="209"/>
      <c r="I59" s="206"/>
      <c r="J59" s="204"/>
      <c r="K59" s="204"/>
    </row>
    <row r="60" spans="2:11" ht="25.5" customHeight="1" x14ac:dyDescent="0.2">
      <c r="B60" s="205"/>
      <c r="C60" s="206"/>
      <c r="D60" s="206"/>
      <c r="E60" s="207"/>
      <c r="F60" s="207"/>
      <c r="G60" s="208"/>
      <c r="H60" s="209"/>
      <c r="I60" s="206"/>
      <c r="J60" s="204"/>
      <c r="K60" s="204"/>
    </row>
  </sheetData>
  <sheetProtection algorithmName="SHA-512" hashValue="J3oOrXjJCqddWtv+dDChkA/Vg18dMYfpqx2l4LDujfIvd7IIT7Ru2jSU7gIL4/XkhrbjvxABfOIIP4NRB7uBCg==" saltValue="mcXMf281GWwQooQFIIT+pg==" spinCount="100000" sheet="1" objects="1" scenarios="1"/>
  <mergeCells count="59">
    <mergeCell ref="B48:I4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theme="6"/>
  </sheetPr>
  <dimension ref="B1:X60"/>
  <sheetViews>
    <sheetView topLeftCell="A26" zoomScaleNormal="100" workbookViewId="0">
      <selection activeCell="H28" sqref="H28"/>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498"/>
      <c r="C1" s="501" t="s">
        <v>25</v>
      </c>
      <c r="D1" s="501"/>
      <c r="E1" s="501"/>
      <c r="F1" s="501"/>
      <c r="G1" s="501"/>
      <c r="H1" s="501"/>
      <c r="I1" s="502"/>
      <c r="J1" s="237"/>
      <c r="K1" s="237"/>
      <c r="M1" s="238" t="s">
        <v>47</v>
      </c>
    </row>
    <row r="2" spans="2:14" ht="37.5" customHeight="1" x14ac:dyDescent="0.2">
      <c r="B2" s="499"/>
      <c r="C2" s="613" t="s">
        <v>239</v>
      </c>
      <c r="D2" s="613"/>
      <c r="E2" s="613"/>
      <c r="F2" s="613"/>
      <c r="G2" s="613"/>
      <c r="H2" s="613"/>
      <c r="I2" s="503"/>
      <c r="J2" s="237"/>
      <c r="K2" s="237"/>
      <c r="M2" s="238" t="s">
        <v>48</v>
      </c>
    </row>
    <row r="3" spans="2:14" ht="37.5" customHeight="1" x14ac:dyDescent="0.2">
      <c r="B3" s="499"/>
      <c r="C3" s="613" t="s">
        <v>240</v>
      </c>
      <c r="D3" s="613"/>
      <c r="E3" s="613"/>
      <c r="F3" s="613" t="s">
        <v>241</v>
      </c>
      <c r="G3" s="613"/>
      <c r="H3" s="613"/>
      <c r="I3" s="503"/>
      <c r="J3" s="237"/>
      <c r="K3" s="237"/>
      <c r="M3" s="238" t="s">
        <v>50</v>
      </c>
    </row>
    <row r="4" spans="2:14" ht="23.25" customHeight="1" x14ac:dyDescent="0.2">
      <c r="B4" s="614"/>
      <c r="C4" s="615"/>
      <c r="D4" s="615"/>
      <c r="E4" s="615"/>
      <c r="F4" s="615"/>
      <c r="G4" s="615"/>
      <c r="H4" s="615"/>
      <c r="I4" s="616"/>
      <c r="J4" s="239"/>
      <c r="K4" s="239"/>
    </row>
    <row r="5" spans="2:14" ht="24" customHeight="1" x14ac:dyDescent="0.2">
      <c r="B5" s="510" t="s">
        <v>234</v>
      </c>
      <c r="C5" s="511"/>
      <c r="D5" s="511"/>
      <c r="E5" s="511"/>
      <c r="F5" s="511"/>
      <c r="G5" s="511"/>
      <c r="H5" s="511"/>
      <c r="I5" s="512"/>
      <c r="J5" s="240"/>
      <c r="K5" s="240"/>
      <c r="N5" s="241" t="s">
        <v>57</v>
      </c>
    </row>
    <row r="6" spans="2:14" ht="30.75" customHeight="1" x14ac:dyDescent="0.2">
      <c r="B6" s="226" t="s">
        <v>242</v>
      </c>
      <c r="C6" s="269">
        <v>4</v>
      </c>
      <c r="D6" s="513" t="s">
        <v>243</v>
      </c>
      <c r="E6" s="513"/>
      <c r="F6" s="647" t="str">
        <f>'[7]Proyecto 7550'!$N$34</f>
        <v>Implementar el Modelo Integrado de Planeación y Gestión- MIPG</v>
      </c>
      <c r="G6" s="647"/>
      <c r="H6" s="647"/>
      <c r="I6" s="648"/>
      <c r="J6" s="242"/>
      <c r="K6" s="242"/>
      <c r="M6" s="238" t="s">
        <v>60</v>
      </c>
      <c r="N6" s="241" t="s">
        <v>61</v>
      </c>
    </row>
    <row r="7" spans="2:14" ht="30.75" customHeight="1" x14ac:dyDescent="0.2">
      <c r="B7" s="226" t="s">
        <v>244</v>
      </c>
      <c r="C7" s="269" t="s">
        <v>81</v>
      </c>
      <c r="D7" s="513" t="s">
        <v>245</v>
      </c>
      <c r="E7" s="513"/>
      <c r="F7" s="649" t="s">
        <v>351</v>
      </c>
      <c r="G7" s="649"/>
      <c r="H7" s="178" t="s">
        <v>246</v>
      </c>
      <c r="I7" s="270" t="s">
        <v>81</v>
      </c>
      <c r="J7" s="243"/>
      <c r="K7" s="243"/>
      <c r="M7" s="238" t="s">
        <v>65</v>
      </c>
      <c r="N7" s="241" t="s">
        <v>66</v>
      </c>
    </row>
    <row r="8" spans="2:14" ht="30.75" customHeight="1" x14ac:dyDescent="0.2">
      <c r="B8" s="226" t="s">
        <v>247</v>
      </c>
      <c r="C8" s="647" t="s">
        <v>289</v>
      </c>
      <c r="D8" s="647"/>
      <c r="E8" s="647"/>
      <c r="F8" s="647"/>
      <c r="G8" s="178" t="s">
        <v>248</v>
      </c>
      <c r="H8" s="652">
        <v>7550</v>
      </c>
      <c r="I8" s="653"/>
      <c r="J8" s="21"/>
      <c r="K8" s="21"/>
      <c r="M8" s="238" t="s">
        <v>69</v>
      </c>
      <c r="N8" s="241" t="s">
        <v>70</v>
      </c>
    </row>
    <row r="9" spans="2:14" ht="30.75" customHeight="1" x14ac:dyDescent="0.2">
      <c r="B9" s="226" t="s">
        <v>48</v>
      </c>
      <c r="C9" s="654" t="s">
        <v>69</v>
      </c>
      <c r="D9" s="654"/>
      <c r="E9" s="654"/>
      <c r="F9" s="654"/>
      <c r="G9" s="178" t="s">
        <v>249</v>
      </c>
      <c r="H9" s="655" t="s">
        <v>352</v>
      </c>
      <c r="I9" s="656"/>
      <c r="J9" s="22"/>
      <c r="K9" s="22"/>
      <c r="M9" s="244" t="s">
        <v>73</v>
      </c>
    </row>
    <row r="10" spans="2:14" ht="30.75" customHeight="1" x14ac:dyDescent="0.2">
      <c r="B10" s="226" t="s">
        <v>250</v>
      </c>
      <c r="C10" s="647" t="s">
        <v>386</v>
      </c>
      <c r="D10" s="647"/>
      <c r="E10" s="647"/>
      <c r="F10" s="647"/>
      <c r="G10" s="647"/>
      <c r="H10" s="647"/>
      <c r="I10" s="648"/>
      <c r="J10" s="245"/>
      <c r="K10" s="245"/>
      <c r="M10" s="244"/>
    </row>
    <row r="11" spans="2:14" ht="30.75" customHeight="1" x14ac:dyDescent="0.2">
      <c r="B11" s="226" t="s">
        <v>251</v>
      </c>
      <c r="C11" s="649" t="s">
        <v>291</v>
      </c>
      <c r="D11" s="649"/>
      <c r="E11" s="649"/>
      <c r="F11" s="649"/>
      <c r="G11" s="649"/>
      <c r="H11" s="649"/>
      <c r="I11" s="657"/>
      <c r="J11" s="243"/>
      <c r="K11" s="243"/>
      <c r="M11" s="244"/>
      <c r="N11" s="241" t="s">
        <v>76</v>
      </c>
    </row>
    <row r="12" spans="2:14" ht="30.75" customHeight="1" x14ac:dyDescent="0.2">
      <c r="B12" s="226" t="s">
        <v>254</v>
      </c>
      <c r="C12" s="658" t="s">
        <v>366</v>
      </c>
      <c r="D12" s="658"/>
      <c r="E12" s="658"/>
      <c r="F12" s="658"/>
      <c r="G12" s="178" t="s">
        <v>252</v>
      </c>
      <c r="H12" s="659" t="s">
        <v>91</v>
      </c>
      <c r="I12" s="660"/>
      <c r="J12" s="243"/>
      <c r="K12" s="243"/>
      <c r="M12" s="244" t="s">
        <v>80</v>
      </c>
      <c r="N12" s="241" t="s">
        <v>81</v>
      </c>
    </row>
    <row r="13" spans="2:14" ht="30.75" customHeight="1" x14ac:dyDescent="0.2">
      <c r="B13" s="226" t="s">
        <v>255</v>
      </c>
      <c r="C13" s="661" t="s">
        <v>354</v>
      </c>
      <c r="D13" s="661"/>
      <c r="E13" s="661"/>
      <c r="F13" s="661"/>
      <c r="G13" s="178" t="s">
        <v>253</v>
      </c>
      <c r="H13" s="649" t="s">
        <v>70</v>
      </c>
      <c r="I13" s="657"/>
      <c r="J13" s="243"/>
      <c r="K13" s="243"/>
      <c r="M13" s="244" t="s">
        <v>84</v>
      </c>
    </row>
    <row r="14" spans="2:14" ht="64.5" customHeight="1" x14ac:dyDescent="0.2">
      <c r="B14" s="226" t="s">
        <v>256</v>
      </c>
      <c r="C14" s="662" t="s">
        <v>367</v>
      </c>
      <c r="D14" s="662"/>
      <c r="E14" s="662"/>
      <c r="F14" s="662"/>
      <c r="G14" s="662"/>
      <c r="H14" s="662"/>
      <c r="I14" s="663"/>
      <c r="J14" s="245"/>
      <c r="K14" s="245"/>
      <c r="M14" s="244" t="s">
        <v>86</v>
      </c>
      <c r="N14" s="241"/>
    </row>
    <row r="15" spans="2:14" ht="30.75" customHeight="1" x14ac:dyDescent="0.2">
      <c r="B15" s="226" t="s">
        <v>257</v>
      </c>
      <c r="C15" s="650" t="s">
        <v>315</v>
      </c>
      <c r="D15" s="650"/>
      <c r="E15" s="650"/>
      <c r="F15" s="650"/>
      <c r="G15" s="650"/>
      <c r="H15" s="650"/>
      <c r="I15" s="651"/>
      <c r="J15" s="246"/>
      <c r="K15" s="246"/>
      <c r="M15" s="244" t="s">
        <v>88</v>
      </c>
      <c r="N15" s="241"/>
    </row>
    <row r="16" spans="2:14" ht="20.25" customHeight="1" x14ac:dyDescent="0.2">
      <c r="B16" s="226" t="s">
        <v>258</v>
      </c>
      <c r="C16" s="647" t="s">
        <v>368</v>
      </c>
      <c r="D16" s="647"/>
      <c r="E16" s="647"/>
      <c r="F16" s="647"/>
      <c r="G16" s="647"/>
      <c r="H16" s="647"/>
      <c r="I16" s="648"/>
      <c r="J16" s="247"/>
      <c r="K16" s="247"/>
      <c r="M16" s="244"/>
      <c r="N16" s="241"/>
    </row>
    <row r="17" spans="2:14" ht="30.75" customHeight="1" x14ac:dyDescent="0.2">
      <c r="B17" s="226" t="s">
        <v>259</v>
      </c>
      <c r="C17" s="649" t="s">
        <v>152</v>
      </c>
      <c r="D17" s="670"/>
      <c r="E17" s="670"/>
      <c r="F17" s="670"/>
      <c r="G17" s="670"/>
      <c r="H17" s="670"/>
      <c r="I17" s="671"/>
      <c r="J17" s="248"/>
      <c r="K17" s="248"/>
      <c r="M17" s="244" t="s">
        <v>91</v>
      </c>
      <c r="N17" s="241"/>
    </row>
    <row r="18" spans="2:14" ht="18" customHeight="1" x14ac:dyDescent="0.2">
      <c r="B18" s="537" t="s">
        <v>265</v>
      </c>
      <c r="C18" s="538" t="s">
        <v>237</v>
      </c>
      <c r="D18" s="538"/>
      <c r="E18" s="538"/>
      <c r="F18" s="539" t="s">
        <v>238</v>
      </c>
      <c r="G18" s="539"/>
      <c r="H18" s="539"/>
      <c r="I18" s="540"/>
      <c r="J18" s="28"/>
      <c r="K18" s="28"/>
      <c r="M18" s="244" t="s">
        <v>79</v>
      </c>
      <c r="N18" s="241"/>
    </row>
    <row r="19" spans="2:14" ht="39.75" customHeight="1" x14ac:dyDescent="0.2">
      <c r="B19" s="537"/>
      <c r="C19" s="647" t="s">
        <v>369</v>
      </c>
      <c r="D19" s="647"/>
      <c r="E19" s="647"/>
      <c r="F19" s="647" t="s">
        <v>370</v>
      </c>
      <c r="G19" s="647"/>
      <c r="H19" s="647"/>
      <c r="I19" s="648"/>
      <c r="J19" s="247"/>
      <c r="K19" s="247"/>
      <c r="M19" s="244" t="s">
        <v>95</v>
      </c>
      <c r="N19" s="241"/>
    </row>
    <row r="20" spans="2:14" ht="39.75" customHeight="1" x14ac:dyDescent="0.2">
      <c r="B20" s="226" t="s">
        <v>266</v>
      </c>
      <c r="C20" s="672" t="s">
        <v>152</v>
      </c>
      <c r="D20" s="673"/>
      <c r="E20" s="674"/>
      <c r="F20" s="659" t="s">
        <v>152</v>
      </c>
      <c r="G20" s="659"/>
      <c r="H20" s="659"/>
      <c r="I20" s="660"/>
      <c r="J20" s="243"/>
      <c r="K20" s="243"/>
      <c r="M20" s="244"/>
      <c r="N20" s="241"/>
    </row>
    <row r="21" spans="2:14" ht="42" customHeight="1" x14ac:dyDescent="0.2">
      <c r="B21" s="226" t="s">
        <v>267</v>
      </c>
      <c r="C21" s="675" t="s">
        <v>371</v>
      </c>
      <c r="D21" s="676"/>
      <c r="E21" s="677"/>
      <c r="F21" s="678" t="s">
        <v>372</v>
      </c>
      <c r="G21" s="665"/>
      <c r="H21" s="665"/>
      <c r="I21" s="679"/>
      <c r="J21" s="246"/>
      <c r="K21" s="246"/>
      <c r="M21" s="249"/>
      <c r="N21" s="241"/>
    </row>
    <row r="22" spans="2:14" ht="23.25" customHeight="1" x14ac:dyDescent="0.2">
      <c r="B22" s="226" t="s">
        <v>268</v>
      </c>
      <c r="C22" s="664">
        <v>44197</v>
      </c>
      <c r="D22" s="680"/>
      <c r="E22" s="681"/>
      <c r="F22" s="178" t="s">
        <v>271</v>
      </c>
      <c r="G22" s="271">
        <v>10</v>
      </c>
      <c r="H22" s="178" t="s">
        <v>275</v>
      </c>
      <c r="I22" s="272">
        <v>10</v>
      </c>
      <c r="J22" s="30"/>
      <c r="K22" s="30"/>
      <c r="M22" s="249"/>
    </row>
    <row r="23" spans="2:14" ht="27" customHeight="1" x14ac:dyDescent="0.2">
      <c r="B23" s="226" t="s">
        <v>269</v>
      </c>
      <c r="C23" s="664">
        <v>44561</v>
      </c>
      <c r="D23" s="665"/>
      <c r="E23" s="666"/>
      <c r="F23" s="178" t="s">
        <v>272</v>
      </c>
      <c r="G23" s="667">
        <v>30</v>
      </c>
      <c r="H23" s="668"/>
      <c r="I23" s="669"/>
      <c r="J23" s="31"/>
      <c r="K23" s="31"/>
      <c r="M23" s="249"/>
    </row>
    <row r="24" spans="2:14" ht="30.75" customHeight="1" x14ac:dyDescent="0.2">
      <c r="B24" s="233" t="s">
        <v>270</v>
      </c>
      <c r="C24" s="682" t="s">
        <v>88</v>
      </c>
      <c r="D24" s="683"/>
      <c r="E24" s="684"/>
      <c r="F24" s="229" t="s">
        <v>274</v>
      </c>
      <c r="G24" s="678"/>
      <c r="H24" s="665"/>
      <c r="I24" s="679"/>
      <c r="J24" s="28"/>
      <c r="K24" s="28"/>
      <c r="M24" s="249"/>
    </row>
    <row r="25" spans="2:14" ht="22.5" customHeight="1" x14ac:dyDescent="0.2">
      <c r="B25" s="633" t="s">
        <v>235</v>
      </c>
      <c r="C25" s="634"/>
      <c r="D25" s="634"/>
      <c r="E25" s="634"/>
      <c r="F25" s="634"/>
      <c r="G25" s="634"/>
      <c r="H25" s="634"/>
      <c r="I25" s="635"/>
      <c r="J25" s="240"/>
      <c r="K25" s="240"/>
      <c r="M25" s="249"/>
    </row>
    <row r="26" spans="2:14" ht="43.5" customHeight="1" x14ac:dyDescent="0.2">
      <c r="B26" s="191" t="s">
        <v>105</v>
      </c>
      <c r="C26" s="223" t="s">
        <v>261</v>
      </c>
      <c r="D26" s="223" t="s">
        <v>260</v>
      </c>
      <c r="E26" s="192" t="s">
        <v>264</v>
      </c>
      <c r="F26" s="223" t="s">
        <v>263</v>
      </c>
      <c r="G26" s="223" t="s">
        <v>262</v>
      </c>
      <c r="H26" s="192" t="s">
        <v>362</v>
      </c>
      <c r="I26" s="193" t="s">
        <v>273</v>
      </c>
      <c r="J26" s="247"/>
      <c r="K26" s="247"/>
      <c r="M26" s="249"/>
    </row>
    <row r="27" spans="2:14" ht="19.5" customHeight="1" x14ac:dyDescent="0.2">
      <c r="B27" s="194" t="s">
        <v>113</v>
      </c>
      <c r="C27" s="273">
        <f>24.7%*G23</f>
        <v>7.41</v>
      </c>
      <c r="D27" s="274">
        <f>+C27</f>
        <v>7.41</v>
      </c>
      <c r="E27" s="275">
        <f>+D27/C27</f>
        <v>1</v>
      </c>
      <c r="F27" s="574">
        <f>SUM(C27:C38)</f>
        <v>30</v>
      </c>
      <c r="G27" s="574">
        <f>SUM(D27:D38)</f>
        <v>8.4</v>
      </c>
      <c r="H27" s="266">
        <f>+(D27*100%)/$G$23</f>
        <v>0.247</v>
      </c>
      <c r="I27" s="685">
        <f>G27+I22</f>
        <v>18.399999999999999</v>
      </c>
      <c r="J27" s="250"/>
      <c r="K27" s="38"/>
      <c r="M27" s="249"/>
    </row>
    <row r="28" spans="2:14" ht="19.5" customHeight="1" x14ac:dyDescent="0.2">
      <c r="B28" s="194" t="s">
        <v>114</v>
      </c>
      <c r="C28" s="273">
        <f>3.3%*G23</f>
        <v>0.99</v>
      </c>
      <c r="D28" s="274">
        <v>0.99</v>
      </c>
      <c r="E28" s="275">
        <f t="shared" ref="E28:E38" si="0">+D28/C28</f>
        <v>1</v>
      </c>
      <c r="F28" s="575"/>
      <c r="G28" s="575"/>
      <c r="H28" s="266">
        <f>+IF(D28="","",((D28*100%)/$G$23)+H27)</f>
        <v>0.28000000000000003</v>
      </c>
      <c r="I28" s="686"/>
      <c r="J28" s="250"/>
      <c r="K28" s="38"/>
      <c r="M28" s="249"/>
    </row>
    <row r="29" spans="2:14" ht="19.5" customHeight="1" x14ac:dyDescent="0.2">
      <c r="B29" s="194" t="s">
        <v>115</v>
      </c>
      <c r="C29" s="276">
        <f>2.7%*G23</f>
        <v>0.81</v>
      </c>
      <c r="D29" s="274"/>
      <c r="E29" s="275">
        <f t="shared" si="0"/>
        <v>0</v>
      </c>
      <c r="F29" s="575"/>
      <c r="G29" s="575"/>
      <c r="H29" s="266" t="str">
        <f t="shared" ref="H29:H38" si="1">+IF(D29="","",((D29*100%)/$G$23)+H28)</f>
        <v/>
      </c>
      <c r="I29" s="686"/>
      <c r="J29" s="250"/>
      <c r="K29" s="38"/>
      <c r="M29" s="249"/>
    </row>
    <row r="30" spans="2:14" ht="19.5" customHeight="1" x14ac:dyDescent="0.2">
      <c r="B30" s="194" t="s">
        <v>116</v>
      </c>
      <c r="C30" s="276">
        <f>20%*G23</f>
        <v>6</v>
      </c>
      <c r="D30" s="274"/>
      <c r="E30" s="275">
        <f t="shared" si="0"/>
        <v>0</v>
      </c>
      <c r="F30" s="575"/>
      <c r="G30" s="575"/>
      <c r="H30" s="266" t="str">
        <f t="shared" si="1"/>
        <v/>
      </c>
      <c r="I30" s="686"/>
      <c r="J30" s="250"/>
      <c r="K30" s="38"/>
    </row>
    <row r="31" spans="2:14" ht="19.5" customHeight="1" x14ac:dyDescent="0.2">
      <c r="B31" s="194" t="s">
        <v>117</v>
      </c>
      <c r="C31" s="276">
        <f>5.3%*G23</f>
        <v>1.5899999999999999</v>
      </c>
      <c r="D31" s="274"/>
      <c r="E31" s="275">
        <f t="shared" si="0"/>
        <v>0</v>
      </c>
      <c r="F31" s="575"/>
      <c r="G31" s="575"/>
      <c r="H31" s="266" t="str">
        <f t="shared" si="1"/>
        <v/>
      </c>
      <c r="I31" s="686"/>
      <c r="J31" s="250"/>
      <c r="K31" s="38"/>
    </row>
    <row r="32" spans="2:14" ht="19.5" customHeight="1" x14ac:dyDescent="0.2">
      <c r="B32" s="194" t="s">
        <v>118</v>
      </c>
      <c r="C32" s="276">
        <f>2.7%*G23</f>
        <v>0.81</v>
      </c>
      <c r="D32" s="274"/>
      <c r="E32" s="275">
        <f t="shared" si="0"/>
        <v>0</v>
      </c>
      <c r="F32" s="575"/>
      <c r="G32" s="575"/>
      <c r="H32" s="266" t="str">
        <f t="shared" si="1"/>
        <v/>
      </c>
      <c r="I32" s="686"/>
      <c r="J32" s="250"/>
      <c r="K32" s="38"/>
    </row>
    <row r="33" spans="2:11" ht="19.5" customHeight="1" x14ac:dyDescent="0.2">
      <c r="B33" s="194" t="s">
        <v>119</v>
      </c>
      <c r="C33" s="276">
        <f>2.7%*G23</f>
        <v>0.81</v>
      </c>
      <c r="D33" s="274"/>
      <c r="E33" s="275">
        <f t="shared" si="0"/>
        <v>0</v>
      </c>
      <c r="F33" s="575"/>
      <c r="G33" s="575"/>
      <c r="H33" s="266" t="str">
        <f t="shared" si="1"/>
        <v/>
      </c>
      <c r="I33" s="686"/>
      <c r="J33" s="250"/>
      <c r="K33" s="38"/>
    </row>
    <row r="34" spans="2:11" ht="19.5" customHeight="1" x14ac:dyDescent="0.2">
      <c r="B34" s="194" t="s">
        <v>120</v>
      </c>
      <c r="C34" s="276">
        <f>10%*G23</f>
        <v>3</v>
      </c>
      <c r="D34" s="274"/>
      <c r="E34" s="275">
        <f t="shared" si="0"/>
        <v>0</v>
      </c>
      <c r="F34" s="575"/>
      <c r="G34" s="575"/>
      <c r="H34" s="266" t="str">
        <f t="shared" si="1"/>
        <v/>
      </c>
      <c r="I34" s="686"/>
      <c r="J34" s="250"/>
      <c r="K34" s="38"/>
    </row>
    <row r="35" spans="2:11" ht="19.5" customHeight="1" x14ac:dyDescent="0.2">
      <c r="B35" s="194" t="s">
        <v>121</v>
      </c>
      <c r="C35" s="276">
        <f>5.3%*G23</f>
        <v>1.5899999999999999</v>
      </c>
      <c r="D35" s="274"/>
      <c r="E35" s="275">
        <f t="shared" si="0"/>
        <v>0</v>
      </c>
      <c r="F35" s="575"/>
      <c r="G35" s="575"/>
      <c r="H35" s="266" t="str">
        <f t="shared" si="1"/>
        <v/>
      </c>
      <c r="I35" s="686"/>
      <c r="J35" s="250"/>
      <c r="K35" s="38"/>
    </row>
    <row r="36" spans="2:11" ht="19.5" customHeight="1" x14ac:dyDescent="0.2">
      <c r="B36" s="194" t="s">
        <v>122</v>
      </c>
      <c r="C36" s="276">
        <f>6.7%*G23</f>
        <v>2.0100000000000002</v>
      </c>
      <c r="D36" s="274"/>
      <c r="E36" s="275">
        <f t="shared" si="0"/>
        <v>0</v>
      </c>
      <c r="F36" s="575"/>
      <c r="G36" s="575"/>
      <c r="H36" s="266" t="str">
        <f t="shared" si="1"/>
        <v/>
      </c>
      <c r="I36" s="686"/>
      <c r="J36" s="250"/>
      <c r="K36" s="38"/>
    </row>
    <row r="37" spans="2:11" ht="19.5" customHeight="1" x14ac:dyDescent="0.2">
      <c r="B37" s="194" t="s">
        <v>123</v>
      </c>
      <c r="C37" s="276">
        <f>2.5%*G23</f>
        <v>0.75</v>
      </c>
      <c r="D37" s="274"/>
      <c r="E37" s="275">
        <f t="shared" si="0"/>
        <v>0</v>
      </c>
      <c r="F37" s="575"/>
      <c r="G37" s="575"/>
      <c r="H37" s="266" t="str">
        <f t="shared" si="1"/>
        <v/>
      </c>
      <c r="I37" s="686"/>
      <c r="J37" s="250"/>
      <c r="K37" s="38"/>
    </row>
    <row r="38" spans="2:11" ht="19.5" customHeight="1" x14ac:dyDescent="0.2">
      <c r="B38" s="194" t="s">
        <v>124</v>
      </c>
      <c r="C38" s="276">
        <f>14.1%*G23</f>
        <v>4.2299999999999995</v>
      </c>
      <c r="D38" s="274"/>
      <c r="E38" s="275">
        <f t="shared" si="0"/>
        <v>0</v>
      </c>
      <c r="F38" s="576"/>
      <c r="G38" s="576"/>
      <c r="H38" s="266" t="str">
        <f t="shared" si="1"/>
        <v/>
      </c>
      <c r="I38" s="687"/>
      <c r="J38" s="250"/>
      <c r="K38" s="38"/>
    </row>
    <row r="39" spans="2:11" ht="144" customHeight="1" x14ac:dyDescent="0.2">
      <c r="B39" s="231" t="s">
        <v>277</v>
      </c>
      <c r="C39" s="559" t="s">
        <v>387</v>
      </c>
      <c r="D39" s="560"/>
      <c r="E39" s="560"/>
      <c r="F39" s="560"/>
      <c r="G39" s="560"/>
      <c r="H39" s="560"/>
      <c r="I39" s="561"/>
      <c r="J39" s="251"/>
      <c r="K39" s="251"/>
    </row>
    <row r="40" spans="2:11" ht="34.5" customHeight="1" x14ac:dyDescent="0.2">
      <c r="B40" s="562"/>
      <c r="C40" s="563"/>
      <c r="D40" s="563"/>
      <c r="E40" s="563"/>
      <c r="F40" s="563"/>
      <c r="G40" s="563"/>
      <c r="H40" s="563"/>
      <c r="I40" s="564"/>
      <c r="J40" s="240"/>
      <c r="K40" s="240"/>
    </row>
    <row r="41" spans="2:11" ht="34.5" customHeight="1" x14ac:dyDescent="0.2">
      <c r="B41" s="565"/>
      <c r="C41" s="566"/>
      <c r="D41" s="566"/>
      <c r="E41" s="566"/>
      <c r="F41" s="566"/>
      <c r="G41" s="566"/>
      <c r="H41" s="566"/>
      <c r="I41" s="567"/>
      <c r="J41" s="251"/>
      <c r="K41" s="251"/>
    </row>
    <row r="42" spans="2:11" ht="34.5" customHeight="1" x14ac:dyDescent="0.2">
      <c r="B42" s="565"/>
      <c r="C42" s="566"/>
      <c r="D42" s="566"/>
      <c r="E42" s="566"/>
      <c r="F42" s="566"/>
      <c r="G42" s="566"/>
      <c r="H42" s="566"/>
      <c r="I42" s="567"/>
      <c r="J42" s="251"/>
      <c r="K42" s="251"/>
    </row>
    <row r="43" spans="2:11" ht="34.5" customHeight="1" x14ac:dyDescent="0.2">
      <c r="B43" s="565"/>
      <c r="C43" s="566"/>
      <c r="D43" s="566"/>
      <c r="E43" s="566"/>
      <c r="F43" s="566"/>
      <c r="G43" s="566"/>
      <c r="H43" s="566"/>
      <c r="I43" s="567"/>
      <c r="J43" s="251"/>
      <c r="K43" s="251"/>
    </row>
    <row r="44" spans="2:11" ht="34.5" customHeight="1" x14ac:dyDescent="0.2">
      <c r="B44" s="568"/>
      <c r="C44" s="569"/>
      <c r="D44" s="569"/>
      <c r="E44" s="569"/>
      <c r="F44" s="569"/>
      <c r="G44" s="569"/>
      <c r="H44" s="569"/>
      <c r="I44" s="570"/>
      <c r="J44" s="239"/>
      <c r="K44" s="239"/>
    </row>
    <row r="45" spans="2:11" ht="186.75" customHeight="1" x14ac:dyDescent="0.2">
      <c r="B45" s="226" t="s">
        <v>278</v>
      </c>
      <c r="C45" s="688" t="s">
        <v>388</v>
      </c>
      <c r="D45" s="689"/>
      <c r="E45" s="689"/>
      <c r="F45" s="689"/>
      <c r="G45" s="689"/>
      <c r="H45" s="689"/>
      <c r="I45" s="690"/>
      <c r="J45" s="252"/>
      <c r="K45" s="252"/>
    </row>
    <row r="46" spans="2:11" ht="32.25" customHeight="1" x14ac:dyDescent="0.2">
      <c r="B46" s="226" t="s">
        <v>279</v>
      </c>
      <c r="C46" s="688"/>
      <c r="D46" s="689"/>
      <c r="E46" s="689"/>
      <c r="F46" s="689"/>
      <c r="G46" s="689"/>
      <c r="H46" s="689"/>
      <c r="I46" s="690"/>
      <c r="J46" s="252"/>
      <c r="K46" s="252"/>
    </row>
    <row r="47" spans="2:11" ht="137.25" customHeight="1" x14ac:dyDescent="0.2">
      <c r="B47" s="232" t="s">
        <v>280</v>
      </c>
      <c r="C47" s="691" t="s">
        <v>390</v>
      </c>
      <c r="D47" s="692"/>
      <c r="E47" s="692"/>
      <c r="F47" s="692"/>
      <c r="G47" s="692"/>
      <c r="H47" s="692"/>
      <c r="I47" s="693"/>
      <c r="J47" s="252"/>
      <c r="K47" s="252"/>
    </row>
    <row r="48" spans="2:11" ht="22.5" customHeight="1" x14ac:dyDescent="0.2">
      <c r="B48" s="633" t="s">
        <v>236</v>
      </c>
      <c r="C48" s="634"/>
      <c r="D48" s="634"/>
      <c r="E48" s="634"/>
      <c r="F48" s="634"/>
      <c r="G48" s="634"/>
      <c r="H48" s="634"/>
      <c r="I48" s="635"/>
      <c r="J48" s="252"/>
      <c r="K48" s="252"/>
    </row>
    <row r="49" spans="2:11" ht="22.5" customHeight="1" x14ac:dyDescent="0.2">
      <c r="B49" s="581" t="s">
        <v>281</v>
      </c>
      <c r="C49" s="220" t="s">
        <v>282</v>
      </c>
      <c r="D49" s="583" t="s">
        <v>283</v>
      </c>
      <c r="E49" s="583"/>
      <c r="F49" s="583"/>
      <c r="G49" s="583" t="s">
        <v>284</v>
      </c>
      <c r="H49" s="583"/>
      <c r="I49" s="584"/>
      <c r="J49" s="253"/>
      <c r="K49" s="253"/>
    </row>
    <row r="50" spans="2:11" ht="30.75" customHeight="1" x14ac:dyDescent="0.2">
      <c r="B50" s="582"/>
      <c r="C50" s="201"/>
      <c r="D50" s="608"/>
      <c r="E50" s="608"/>
      <c r="F50" s="608"/>
      <c r="G50" s="608"/>
      <c r="H50" s="608"/>
      <c r="I50" s="609"/>
      <c r="J50" s="253"/>
      <c r="K50" s="253"/>
    </row>
    <row r="51" spans="2:11" ht="32.25" customHeight="1" x14ac:dyDescent="0.2">
      <c r="B51" s="235" t="s">
        <v>285</v>
      </c>
      <c r="C51" s="608" t="s">
        <v>373</v>
      </c>
      <c r="D51" s="608"/>
      <c r="E51" s="608"/>
      <c r="F51" s="608"/>
      <c r="G51" s="608"/>
      <c r="H51" s="608"/>
      <c r="I51" s="609"/>
      <c r="J51" s="254"/>
      <c r="K51" s="254"/>
    </row>
    <row r="52" spans="2:11" ht="28.5" customHeight="1" x14ac:dyDescent="0.2">
      <c r="B52" s="236" t="s">
        <v>286</v>
      </c>
      <c r="C52" s="672" t="s">
        <v>389</v>
      </c>
      <c r="D52" s="673"/>
      <c r="E52" s="673"/>
      <c r="F52" s="673"/>
      <c r="G52" s="673"/>
      <c r="H52" s="673"/>
      <c r="I52" s="694"/>
      <c r="J52" s="254"/>
      <c r="K52" s="254"/>
    </row>
    <row r="53" spans="2:11" ht="30" customHeight="1" x14ac:dyDescent="0.2">
      <c r="B53" s="232" t="s">
        <v>287</v>
      </c>
      <c r="C53" s="608" t="s">
        <v>351</v>
      </c>
      <c r="D53" s="608"/>
      <c r="E53" s="608"/>
      <c r="F53" s="608"/>
      <c r="G53" s="608"/>
      <c r="H53" s="608"/>
      <c r="I53" s="609"/>
      <c r="J53" s="255"/>
      <c r="K53" s="255"/>
    </row>
    <row r="54" spans="2:11" ht="31.5" customHeight="1" thickBot="1" x14ac:dyDescent="0.25">
      <c r="B54" s="213" t="s">
        <v>288</v>
      </c>
      <c r="C54" s="695"/>
      <c r="D54" s="695"/>
      <c r="E54" s="695"/>
      <c r="F54" s="695"/>
      <c r="G54" s="695"/>
      <c r="H54" s="695"/>
      <c r="I54" s="696"/>
      <c r="J54" s="256"/>
      <c r="K54" s="256"/>
    </row>
    <row r="55" spans="2:11" ht="12.75" customHeight="1" x14ac:dyDescent="0.2">
      <c r="B55" s="257"/>
      <c r="C55" s="258"/>
      <c r="D55" s="258"/>
      <c r="E55" s="259"/>
      <c r="F55" s="259"/>
      <c r="G55" s="260"/>
      <c r="H55" s="261"/>
      <c r="I55" s="258"/>
      <c r="J55" s="256"/>
      <c r="K55" s="256"/>
    </row>
    <row r="56" spans="2:11" x14ac:dyDescent="0.2">
      <c r="B56" s="257"/>
      <c r="C56" s="258"/>
      <c r="D56" s="258"/>
      <c r="E56" s="259"/>
      <c r="F56" s="259"/>
      <c r="G56" s="260"/>
      <c r="H56" s="261"/>
      <c r="I56" s="258"/>
      <c r="J56" s="256"/>
      <c r="K56" s="256"/>
    </row>
    <row r="57" spans="2:11" x14ac:dyDescent="0.2">
      <c r="B57" s="257"/>
      <c r="C57" s="258"/>
      <c r="D57" s="258"/>
      <c r="E57" s="259"/>
      <c r="F57" s="259"/>
      <c r="G57" s="260"/>
      <c r="H57" s="261"/>
      <c r="I57" s="258"/>
      <c r="J57" s="256"/>
      <c r="K57" s="256"/>
    </row>
    <row r="58" spans="2:11" x14ac:dyDescent="0.2">
      <c r="B58" s="257"/>
      <c r="C58" s="258"/>
      <c r="D58" s="258"/>
      <c r="E58" s="259"/>
      <c r="F58" s="259"/>
      <c r="G58" s="260"/>
      <c r="H58" s="261"/>
      <c r="I58" s="258"/>
      <c r="J58" s="256"/>
      <c r="K58" s="256"/>
    </row>
    <row r="59" spans="2:11" x14ac:dyDescent="0.2">
      <c r="B59" s="257"/>
      <c r="C59" s="258"/>
      <c r="D59" s="258"/>
      <c r="E59" s="259"/>
      <c r="F59" s="259"/>
      <c r="G59" s="260"/>
      <c r="H59" s="261"/>
      <c r="I59" s="258"/>
      <c r="J59" s="256"/>
      <c r="K59" s="256"/>
    </row>
    <row r="60" spans="2:11" ht="25.5" customHeight="1" x14ac:dyDescent="0.2">
      <c r="B60" s="257"/>
      <c r="C60" s="258"/>
      <c r="D60" s="258"/>
      <c r="E60" s="259"/>
      <c r="F60" s="259"/>
      <c r="G60" s="260"/>
      <c r="H60" s="261"/>
      <c r="I60" s="258"/>
      <c r="J60" s="256"/>
      <c r="K60" s="256"/>
    </row>
  </sheetData>
  <sheetProtection algorithmName="SHA-512" hashValue="lvMc9n2QwdwIag7wqYl/qwwb4QEycDuEYZEH5NgrFUdNyjK54PePan2FKu4cloaXZFEiZ+im0MNHUkL/3iiD2w==" saltValue="2FJQ4IDtf3qLLWgPAVwmq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60"/>
  <sheetViews>
    <sheetView zoomScaleNormal="100" zoomScalePageLayoutView="85" workbookViewId="0">
      <selection activeCell="F6" sqref="F6:I6"/>
    </sheetView>
  </sheetViews>
  <sheetFormatPr baseColWidth="10" defaultColWidth="10.85546875" defaultRowHeight="12.75" x14ac:dyDescent="0.2"/>
  <cols>
    <col min="1" max="1" width="1" style="173" customWidth="1"/>
    <col min="2" max="2" width="25.42578125" style="210" customWidth="1"/>
    <col min="3" max="3" width="14.42578125" style="173" customWidth="1"/>
    <col min="4" max="4" width="20.140625" style="173" customWidth="1"/>
    <col min="5" max="5" width="16.42578125" style="173" customWidth="1"/>
    <col min="6" max="6" width="25" style="173" customWidth="1"/>
    <col min="7" max="7" width="22" style="210" customWidth="1"/>
    <col min="8" max="8" width="20.42578125" style="173" customWidth="1"/>
    <col min="9" max="11" width="22.42578125" style="173" customWidth="1"/>
    <col min="12" max="24" width="10.85546875" style="171"/>
    <col min="25" max="16384" width="10.85546875" style="173"/>
  </cols>
  <sheetData>
    <row r="1" spans="2:14" ht="37.5" customHeight="1" x14ac:dyDescent="0.2">
      <c r="B1" s="498"/>
      <c r="C1" s="501" t="s">
        <v>25</v>
      </c>
      <c r="D1" s="501"/>
      <c r="E1" s="501"/>
      <c r="F1" s="501"/>
      <c r="G1" s="501"/>
      <c r="H1" s="501"/>
      <c r="I1" s="502"/>
      <c r="J1" s="170"/>
      <c r="K1" s="170"/>
      <c r="M1" s="172" t="s">
        <v>47</v>
      </c>
    </row>
    <row r="2" spans="2:14" ht="37.5" customHeight="1" x14ac:dyDescent="0.2">
      <c r="B2" s="499"/>
      <c r="C2" s="505" t="s">
        <v>239</v>
      </c>
      <c r="D2" s="505"/>
      <c r="E2" s="505"/>
      <c r="F2" s="505"/>
      <c r="G2" s="505"/>
      <c r="H2" s="505"/>
      <c r="I2" s="503"/>
      <c r="J2" s="170"/>
      <c r="K2" s="170"/>
      <c r="M2" s="172" t="s">
        <v>48</v>
      </c>
    </row>
    <row r="3" spans="2:14" ht="37.5" customHeight="1" thickBot="1" x14ac:dyDescent="0.25">
      <c r="B3" s="500"/>
      <c r="C3" s="506" t="s">
        <v>240</v>
      </c>
      <c r="D3" s="506"/>
      <c r="E3" s="506"/>
      <c r="F3" s="506" t="s">
        <v>241</v>
      </c>
      <c r="G3" s="506"/>
      <c r="H3" s="506"/>
      <c r="I3" s="504"/>
      <c r="J3" s="170"/>
      <c r="K3" s="170"/>
      <c r="M3" s="172" t="s">
        <v>50</v>
      </c>
    </row>
    <row r="4" spans="2:14" ht="23.25" customHeight="1" x14ac:dyDescent="0.2">
      <c r="B4" s="697"/>
      <c r="C4" s="698"/>
      <c r="D4" s="698"/>
      <c r="E4" s="698"/>
      <c r="F4" s="698"/>
      <c r="G4" s="698"/>
      <c r="H4" s="698"/>
      <c r="I4" s="699"/>
      <c r="J4" s="174"/>
      <c r="K4" s="174"/>
    </row>
    <row r="5" spans="2:14" ht="24" customHeight="1" x14ac:dyDescent="0.2">
      <c r="B5" s="510" t="s">
        <v>234</v>
      </c>
      <c r="C5" s="511"/>
      <c r="D5" s="511"/>
      <c r="E5" s="511"/>
      <c r="F5" s="511"/>
      <c r="G5" s="511"/>
      <c r="H5" s="511"/>
      <c r="I5" s="512"/>
      <c r="J5" s="175"/>
      <c r="K5" s="175"/>
      <c r="N5" s="176" t="s">
        <v>57</v>
      </c>
    </row>
    <row r="6" spans="2:14" ht="30.75" customHeight="1" x14ac:dyDescent="0.2">
      <c r="B6" s="226" t="s">
        <v>242</v>
      </c>
      <c r="C6" s="224">
        <v>5</v>
      </c>
      <c r="D6" s="513" t="s">
        <v>243</v>
      </c>
      <c r="E6" s="513"/>
      <c r="F6" s="514" t="s">
        <v>294</v>
      </c>
      <c r="G6" s="514"/>
      <c r="H6" s="514"/>
      <c r="I6" s="515"/>
      <c r="J6" s="177"/>
      <c r="K6" s="177"/>
      <c r="M6" s="172" t="s">
        <v>60</v>
      </c>
      <c r="N6" s="176" t="s">
        <v>61</v>
      </c>
    </row>
    <row r="7" spans="2:14" ht="30.75" customHeight="1" x14ac:dyDescent="0.2">
      <c r="B7" s="226" t="s">
        <v>244</v>
      </c>
      <c r="C7" s="224" t="s">
        <v>81</v>
      </c>
      <c r="D7" s="513" t="s">
        <v>245</v>
      </c>
      <c r="E7" s="513"/>
      <c r="F7" s="514" t="s">
        <v>333</v>
      </c>
      <c r="G7" s="514"/>
      <c r="H7" s="178" t="s">
        <v>246</v>
      </c>
      <c r="I7" s="225" t="s">
        <v>81</v>
      </c>
      <c r="J7" s="179"/>
      <c r="K7" s="179"/>
      <c r="M7" s="172" t="s">
        <v>65</v>
      </c>
      <c r="N7" s="176" t="s">
        <v>66</v>
      </c>
    </row>
    <row r="8" spans="2:14" ht="30.75" customHeight="1" x14ac:dyDescent="0.2">
      <c r="B8" s="226" t="s">
        <v>247</v>
      </c>
      <c r="C8" s="514" t="s">
        <v>289</v>
      </c>
      <c r="D8" s="514"/>
      <c r="E8" s="514"/>
      <c r="F8" s="514"/>
      <c r="G8" s="178" t="s">
        <v>248</v>
      </c>
      <c r="H8" s="519">
        <v>7550</v>
      </c>
      <c r="I8" s="520"/>
      <c r="J8" s="180"/>
      <c r="K8" s="180"/>
      <c r="M8" s="172" t="s">
        <v>69</v>
      </c>
      <c r="N8" s="176" t="s">
        <v>70</v>
      </c>
    </row>
    <row r="9" spans="2:14" ht="30.75" customHeight="1" x14ac:dyDescent="0.2">
      <c r="B9" s="226" t="s">
        <v>48</v>
      </c>
      <c r="C9" s="521" t="s">
        <v>60</v>
      </c>
      <c r="D9" s="521"/>
      <c r="E9" s="521"/>
      <c r="F9" s="521"/>
      <c r="G9" s="178" t="s">
        <v>249</v>
      </c>
      <c r="H9" s="522" t="s">
        <v>316</v>
      </c>
      <c r="I9" s="523"/>
      <c r="J9" s="181"/>
      <c r="K9" s="181"/>
      <c r="M9" s="182" t="s">
        <v>73</v>
      </c>
    </row>
    <row r="10" spans="2:14" ht="39" customHeight="1" x14ac:dyDescent="0.2">
      <c r="B10" s="226" t="s">
        <v>250</v>
      </c>
      <c r="C10" s="514" t="s">
        <v>378</v>
      </c>
      <c r="D10" s="514"/>
      <c r="E10" s="514"/>
      <c r="F10" s="514"/>
      <c r="G10" s="514"/>
      <c r="H10" s="514"/>
      <c r="I10" s="515"/>
      <c r="J10" s="183"/>
      <c r="K10" s="183"/>
      <c r="M10" s="182"/>
    </row>
    <row r="11" spans="2:14" ht="30.75" customHeight="1" x14ac:dyDescent="0.2">
      <c r="B11" s="226" t="s">
        <v>251</v>
      </c>
      <c r="C11" s="516" t="str">
        <f>'[7]Proyecto 7550'!$E$53</f>
        <v>Realizar el fortalecimiento institucional de la estructura orgánica y funcional de la SDA, IDIGER, JBB, E IDPYBA</v>
      </c>
      <c r="D11" s="516"/>
      <c r="E11" s="516"/>
      <c r="F11" s="516"/>
      <c r="G11" s="516"/>
      <c r="H11" s="516"/>
      <c r="I11" s="700"/>
      <c r="J11" s="179"/>
      <c r="K11" s="179"/>
      <c r="M11" s="182"/>
      <c r="N11" s="176" t="s">
        <v>76</v>
      </c>
    </row>
    <row r="12" spans="2:14" ht="30.75" customHeight="1" x14ac:dyDescent="0.2">
      <c r="B12" s="226" t="s">
        <v>254</v>
      </c>
      <c r="C12" s="517" t="s">
        <v>308</v>
      </c>
      <c r="D12" s="517"/>
      <c r="E12" s="517"/>
      <c r="F12" s="517"/>
      <c r="G12" s="178" t="s">
        <v>252</v>
      </c>
      <c r="H12" s="544" t="s">
        <v>91</v>
      </c>
      <c r="I12" s="545"/>
      <c r="J12" s="179"/>
      <c r="K12" s="179"/>
      <c r="M12" s="182" t="s">
        <v>80</v>
      </c>
      <c r="N12" s="176" t="s">
        <v>81</v>
      </c>
    </row>
    <row r="13" spans="2:14" ht="30.75" customHeight="1" x14ac:dyDescent="0.2">
      <c r="B13" s="226" t="s">
        <v>255</v>
      </c>
      <c r="C13" s="528" t="s">
        <v>349</v>
      </c>
      <c r="D13" s="528"/>
      <c r="E13" s="528"/>
      <c r="F13" s="528"/>
      <c r="G13" s="178" t="s">
        <v>253</v>
      </c>
      <c r="H13" s="516" t="s">
        <v>57</v>
      </c>
      <c r="I13" s="700"/>
      <c r="J13" s="179"/>
      <c r="K13" s="179"/>
      <c r="M13" s="182" t="s">
        <v>84</v>
      </c>
    </row>
    <row r="14" spans="2:14" ht="30" customHeight="1" x14ac:dyDescent="0.2">
      <c r="B14" s="226" t="s">
        <v>256</v>
      </c>
      <c r="C14" s="701" t="s">
        <v>309</v>
      </c>
      <c r="D14" s="702"/>
      <c r="E14" s="702"/>
      <c r="F14" s="702"/>
      <c r="G14" s="702"/>
      <c r="H14" s="702"/>
      <c r="I14" s="703"/>
      <c r="J14" s="183"/>
      <c r="K14" s="183"/>
      <c r="M14" s="182" t="s">
        <v>86</v>
      </c>
      <c r="N14" s="176"/>
    </row>
    <row r="15" spans="2:14" ht="30.75" customHeight="1" x14ac:dyDescent="0.2">
      <c r="B15" s="226" t="s">
        <v>257</v>
      </c>
      <c r="C15" s="517" t="s">
        <v>310</v>
      </c>
      <c r="D15" s="517"/>
      <c r="E15" s="517"/>
      <c r="F15" s="517"/>
      <c r="G15" s="517"/>
      <c r="H15" s="517"/>
      <c r="I15" s="518"/>
      <c r="J15" s="184"/>
      <c r="K15" s="184"/>
      <c r="M15" s="182" t="s">
        <v>88</v>
      </c>
      <c r="N15" s="176"/>
    </row>
    <row r="16" spans="2:14" ht="20.25" customHeight="1" x14ac:dyDescent="0.2">
      <c r="B16" s="226" t="s">
        <v>258</v>
      </c>
      <c r="C16" s="514" t="s">
        <v>327</v>
      </c>
      <c r="D16" s="514"/>
      <c r="E16" s="514"/>
      <c r="F16" s="514"/>
      <c r="G16" s="514"/>
      <c r="H16" s="514"/>
      <c r="I16" s="515"/>
      <c r="J16" s="185"/>
      <c r="K16" s="185"/>
      <c r="M16" s="182"/>
      <c r="N16" s="176"/>
    </row>
    <row r="17" spans="2:14" ht="30.75" customHeight="1" x14ac:dyDescent="0.2">
      <c r="B17" s="226" t="s">
        <v>259</v>
      </c>
      <c r="C17" s="516" t="s">
        <v>152</v>
      </c>
      <c r="D17" s="535"/>
      <c r="E17" s="535"/>
      <c r="F17" s="535"/>
      <c r="G17" s="535"/>
      <c r="H17" s="535"/>
      <c r="I17" s="536"/>
      <c r="J17" s="186"/>
      <c r="K17" s="186"/>
      <c r="M17" s="182" t="s">
        <v>91</v>
      </c>
      <c r="N17" s="176"/>
    </row>
    <row r="18" spans="2:14" ht="18" customHeight="1" x14ac:dyDescent="0.2">
      <c r="B18" s="537" t="s">
        <v>265</v>
      </c>
      <c r="C18" s="538" t="s">
        <v>237</v>
      </c>
      <c r="D18" s="538"/>
      <c r="E18" s="538"/>
      <c r="F18" s="539" t="s">
        <v>238</v>
      </c>
      <c r="G18" s="539"/>
      <c r="H18" s="539"/>
      <c r="I18" s="540"/>
      <c r="J18" s="187"/>
      <c r="K18" s="187"/>
      <c r="M18" s="182" t="s">
        <v>79</v>
      </c>
      <c r="N18" s="176"/>
    </row>
    <row r="19" spans="2:14" ht="39.75" customHeight="1" x14ac:dyDescent="0.2">
      <c r="B19" s="537"/>
      <c r="C19" s="514" t="s">
        <v>312</v>
      </c>
      <c r="D19" s="514"/>
      <c r="E19" s="514"/>
      <c r="F19" s="514" t="s">
        <v>313</v>
      </c>
      <c r="G19" s="514"/>
      <c r="H19" s="514"/>
      <c r="I19" s="515"/>
      <c r="J19" s="185"/>
      <c r="K19" s="185"/>
      <c r="M19" s="182" t="s">
        <v>95</v>
      </c>
      <c r="N19" s="176"/>
    </row>
    <row r="20" spans="2:14" ht="39.75" customHeight="1" x14ac:dyDescent="0.2">
      <c r="B20" s="226" t="s">
        <v>266</v>
      </c>
      <c r="C20" s="541" t="s">
        <v>314</v>
      </c>
      <c r="D20" s="542"/>
      <c r="E20" s="543"/>
      <c r="F20" s="544" t="s">
        <v>314</v>
      </c>
      <c r="G20" s="544"/>
      <c r="H20" s="544"/>
      <c r="I20" s="545"/>
      <c r="J20" s="179"/>
      <c r="K20" s="179"/>
      <c r="M20" s="182"/>
      <c r="N20" s="176"/>
    </row>
    <row r="21" spans="2:14" ht="361.15" customHeight="1" x14ac:dyDescent="0.2">
      <c r="B21" s="226" t="s">
        <v>267</v>
      </c>
      <c r="C21" s="546" t="s">
        <v>344</v>
      </c>
      <c r="D21" s="547"/>
      <c r="E21" s="548"/>
      <c r="F21" s="704" t="s">
        <v>343</v>
      </c>
      <c r="G21" s="705"/>
      <c r="H21" s="705"/>
      <c r="I21" s="706"/>
      <c r="J21" s="184"/>
      <c r="K21" s="184"/>
      <c r="M21" s="188"/>
      <c r="N21" s="176"/>
    </row>
    <row r="22" spans="2:14" ht="23.25" customHeight="1" x14ac:dyDescent="0.2">
      <c r="B22" s="226" t="s">
        <v>268</v>
      </c>
      <c r="C22" s="529">
        <v>44197</v>
      </c>
      <c r="D22" s="552"/>
      <c r="E22" s="553"/>
      <c r="F22" s="178" t="s">
        <v>271</v>
      </c>
      <c r="G22" s="227">
        <v>0.1</v>
      </c>
      <c r="H22" s="178" t="s">
        <v>275</v>
      </c>
      <c r="I22" s="228">
        <v>0.1</v>
      </c>
      <c r="J22" s="189"/>
      <c r="K22" s="189"/>
      <c r="M22" s="188"/>
    </row>
    <row r="23" spans="2:14" ht="27" customHeight="1" x14ac:dyDescent="0.2">
      <c r="B23" s="226" t="s">
        <v>269</v>
      </c>
      <c r="C23" s="529">
        <v>44561</v>
      </c>
      <c r="D23" s="530"/>
      <c r="E23" s="531"/>
      <c r="F23" s="178" t="s">
        <v>272</v>
      </c>
      <c r="G23" s="532">
        <v>0.3</v>
      </c>
      <c r="H23" s="533"/>
      <c r="I23" s="534"/>
      <c r="J23" s="190"/>
      <c r="K23" s="190"/>
      <c r="M23" s="188"/>
    </row>
    <row r="24" spans="2:14" ht="30.75" customHeight="1" x14ac:dyDescent="0.2">
      <c r="B24" s="233" t="s">
        <v>270</v>
      </c>
      <c r="C24" s="554" t="s">
        <v>326</v>
      </c>
      <c r="D24" s="555"/>
      <c r="E24" s="556"/>
      <c r="F24" s="229" t="s">
        <v>274</v>
      </c>
      <c r="G24" s="557" t="s">
        <v>223</v>
      </c>
      <c r="H24" s="530"/>
      <c r="I24" s="558"/>
      <c r="J24" s="187"/>
      <c r="K24" s="187"/>
      <c r="M24" s="188"/>
    </row>
    <row r="25" spans="2:14" ht="22.5" customHeight="1" x14ac:dyDescent="0.2">
      <c r="B25" s="510" t="s">
        <v>235</v>
      </c>
      <c r="C25" s="511"/>
      <c r="D25" s="511"/>
      <c r="E25" s="511"/>
      <c r="F25" s="511"/>
      <c r="G25" s="511"/>
      <c r="H25" s="511"/>
      <c r="I25" s="512"/>
      <c r="J25" s="175"/>
      <c r="K25" s="175"/>
      <c r="M25" s="188"/>
    </row>
    <row r="26" spans="2:14" ht="43.5" customHeight="1" x14ac:dyDescent="0.2">
      <c r="B26" s="191" t="s">
        <v>105</v>
      </c>
      <c r="C26" s="223" t="s">
        <v>261</v>
      </c>
      <c r="D26" s="223" t="s">
        <v>260</v>
      </c>
      <c r="E26" s="192" t="s">
        <v>264</v>
      </c>
      <c r="F26" s="223" t="s">
        <v>263</v>
      </c>
      <c r="G26" s="223" t="s">
        <v>262</v>
      </c>
      <c r="H26" s="192" t="s">
        <v>276</v>
      </c>
      <c r="I26" s="193" t="s">
        <v>273</v>
      </c>
      <c r="J26" s="185"/>
      <c r="K26" s="185"/>
      <c r="M26" s="188"/>
    </row>
    <row r="27" spans="2:14" ht="15.6" customHeight="1" x14ac:dyDescent="0.2">
      <c r="B27" s="191" t="s">
        <v>329</v>
      </c>
      <c r="C27" s="230">
        <f>0.0833*$G$23</f>
        <v>2.4989999999999998E-2</v>
      </c>
      <c r="D27" s="230">
        <v>2.4900000000000002E-2</v>
      </c>
      <c r="E27" s="265">
        <f>IF(OR(C27=0,C27=""),0,D27/C27)</f>
        <v>0.99639855942376965</v>
      </c>
      <c r="F27" s="574">
        <f>SUM(C27:C38)</f>
        <v>0.29999999999999993</v>
      </c>
      <c r="G27" s="574">
        <f>SUM(D27:D38)</f>
        <v>4.9800000000000004E-2</v>
      </c>
      <c r="H27" s="266">
        <f>+(D27*100%)/$G$23</f>
        <v>8.3000000000000004E-2</v>
      </c>
      <c r="I27" s="571">
        <f>G27+I22</f>
        <v>0.14980000000000002</v>
      </c>
      <c r="J27" s="185"/>
      <c r="K27" s="185"/>
      <c r="M27" s="188"/>
    </row>
    <row r="28" spans="2:14" ht="15.6" customHeight="1" x14ac:dyDescent="0.2">
      <c r="B28" s="191" t="s">
        <v>114</v>
      </c>
      <c r="C28" s="230">
        <f t="shared" ref="C28:C34" si="0">0.0833*$G$23</f>
        <v>2.4989999999999998E-2</v>
      </c>
      <c r="D28" s="230">
        <v>2.4900000000000002E-2</v>
      </c>
      <c r="E28" s="265">
        <f t="shared" ref="E28:E38" si="1">IF(OR(C28=0,C28=""),0,D28/C28)</f>
        <v>0.99639855942376965</v>
      </c>
      <c r="F28" s="575"/>
      <c r="G28" s="575"/>
      <c r="H28" s="266">
        <f>+IF(D28="","",((D28*100%)/$G$23)+H27)</f>
        <v>0.16600000000000001</v>
      </c>
      <c r="I28" s="572"/>
      <c r="J28" s="185"/>
      <c r="K28" s="185"/>
      <c r="M28" s="188"/>
    </row>
    <row r="29" spans="2:14" ht="15.6" customHeight="1" x14ac:dyDescent="0.2">
      <c r="B29" s="191" t="s">
        <v>115</v>
      </c>
      <c r="C29" s="230">
        <f t="shared" si="0"/>
        <v>2.4989999999999998E-2</v>
      </c>
      <c r="D29" s="230"/>
      <c r="E29" s="265">
        <f t="shared" si="1"/>
        <v>0</v>
      </c>
      <c r="F29" s="575"/>
      <c r="G29" s="575"/>
      <c r="H29" s="266" t="str">
        <f t="shared" ref="H29:H38" si="2">+IF(D29="","",((D29*100%)/$G$23)+H28)</f>
        <v/>
      </c>
      <c r="I29" s="572"/>
      <c r="J29" s="185"/>
      <c r="K29" s="185"/>
      <c r="M29" s="188"/>
    </row>
    <row r="30" spans="2:14" ht="15.6" customHeight="1" x14ac:dyDescent="0.2">
      <c r="B30" s="191" t="s">
        <v>116</v>
      </c>
      <c r="C30" s="230">
        <f t="shared" si="0"/>
        <v>2.4989999999999998E-2</v>
      </c>
      <c r="D30" s="230"/>
      <c r="E30" s="265">
        <f t="shared" si="1"/>
        <v>0</v>
      </c>
      <c r="F30" s="575"/>
      <c r="G30" s="575"/>
      <c r="H30" s="266" t="str">
        <f t="shared" si="2"/>
        <v/>
      </c>
      <c r="I30" s="572"/>
      <c r="J30" s="185"/>
      <c r="K30" s="185"/>
      <c r="M30" s="188"/>
    </row>
    <row r="31" spans="2:14" ht="15.6" customHeight="1" x14ac:dyDescent="0.2">
      <c r="B31" s="191" t="s">
        <v>117</v>
      </c>
      <c r="C31" s="230">
        <f t="shared" si="0"/>
        <v>2.4989999999999998E-2</v>
      </c>
      <c r="D31" s="230"/>
      <c r="E31" s="265">
        <f t="shared" si="1"/>
        <v>0</v>
      </c>
      <c r="F31" s="575"/>
      <c r="G31" s="575"/>
      <c r="H31" s="266" t="str">
        <f t="shared" si="2"/>
        <v/>
      </c>
      <c r="I31" s="572"/>
      <c r="J31" s="185"/>
      <c r="K31" s="185"/>
      <c r="M31" s="188"/>
    </row>
    <row r="32" spans="2:14" ht="15.6" customHeight="1" x14ac:dyDescent="0.2">
      <c r="B32" s="191" t="s">
        <v>118</v>
      </c>
      <c r="C32" s="230">
        <f t="shared" si="0"/>
        <v>2.4989999999999998E-2</v>
      </c>
      <c r="D32" s="230"/>
      <c r="E32" s="265">
        <f t="shared" si="1"/>
        <v>0</v>
      </c>
      <c r="F32" s="575"/>
      <c r="G32" s="575"/>
      <c r="H32" s="266" t="str">
        <f t="shared" si="2"/>
        <v/>
      </c>
      <c r="I32" s="572"/>
      <c r="J32" s="185"/>
      <c r="K32" s="185"/>
      <c r="M32" s="188"/>
    </row>
    <row r="33" spans="2:11" ht="19.5" customHeight="1" x14ac:dyDescent="0.2">
      <c r="B33" s="191" t="s">
        <v>119</v>
      </c>
      <c r="C33" s="230">
        <f t="shared" si="0"/>
        <v>2.4989999999999998E-2</v>
      </c>
      <c r="D33" s="230"/>
      <c r="E33" s="265">
        <f t="shared" si="1"/>
        <v>0</v>
      </c>
      <c r="F33" s="575"/>
      <c r="G33" s="575"/>
      <c r="H33" s="266" t="str">
        <f t="shared" si="2"/>
        <v/>
      </c>
      <c r="I33" s="572"/>
      <c r="J33" s="196"/>
      <c r="K33" s="196"/>
    </row>
    <row r="34" spans="2:11" ht="19.5" customHeight="1" x14ac:dyDescent="0.2">
      <c r="B34" s="191" t="s">
        <v>120</v>
      </c>
      <c r="C34" s="230">
        <f t="shared" si="0"/>
        <v>2.4989999999999998E-2</v>
      </c>
      <c r="D34" s="230"/>
      <c r="E34" s="265">
        <f t="shared" si="1"/>
        <v>0</v>
      </c>
      <c r="F34" s="575"/>
      <c r="G34" s="575"/>
      <c r="H34" s="266" t="str">
        <f t="shared" si="2"/>
        <v/>
      </c>
      <c r="I34" s="572"/>
      <c r="J34" s="196"/>
      <c r="K34" s="196"/>
    </row>
    <row r="35" spans="2:11" ht="19.5" customHeight="1" x14ac:dyDescent="0.2">
      <c r="B35" s="191" t="s">
        <v>121</v>
      </c>
      <c r="C35" s="230">
        <f>0.0834*$G$23</f>
        <v>2.5020000000000001E-2</v>
      </c>
      <c r="D35" s="230"/>
      <c r="E35" s="265">
        <f t="shared" si="1"/>
        <v>0</v>
      </c>
      <c r="F35" s="575"/>
      <c r="G35" s="575"/>
      <c r="H35" s="266" t="str">
        <f t="shared" si="2"/>
        <v/>
      </c>
      <c r="I35" s="572"/>
      <c r="J35" s="196"/>
      <c r="K35" s="196"/>
    </row>
    <row r="36" spans="2:11" ht="19.5" customHeight="1" x14ac:dyDescent="0.2">
      <c r="B36" s="191" t="s">
        <v>122</v>
      </c>
      <c r="C36" s="230">
        <f>0.0834*$G$23</f>
        <v>2.5020000000000001E-2</v>
      </c>
      <c r="D36" s="230"/>
      <c r="E36" s="265">
        <f t="shared" si="1"/>
        <v>0</v>
      </c>
      <c r="F36" s="575"/>
      <c r="G36" s="575"/>
      <c r="H36" s="266" t="str">
        <f t="shared" si="2"/>
        <v/>
      </c>
      <c r="I36" s="572"/>
      <c r="J36" s="196"/>
      <c r="K36" s="196"/>
    </row>
    <row r="37" spans="2:11" ht="19.5" customHeight="1" x14ac:dyDescent="0.2">
      <c r="B37" s="191" t="s">
        <v>123</v>
      </c>
      <c r="C37" s="230">
        <f>0.0834*$G$23</f>
        <v>2.5020000000000001E-2</v>
      </c>
      <c r="D37" s="230"/>
      <c r="E37" s="265">
        <f t="shared" si="1"/>
        <v>0</v>
      </c>
      <c r="F37" s="575"/>
      <c r="G37" s="575"/>
      <c r="H37" s="266" t="str">
        <f t="shared" si="2"/>
        <v/>
      </c>
      <c r="I37" s="572"/>
      <c r="J37" s="196"/>
      <c r="K37" s="196"/>
    </row>
    <row r="38" spans="2:11" ht="19.5" customHeight="1" x14ac:dyDescent="0.2">
      <c r="B38" s="191" t="s">
        <v>124</v>
      </c>
      <c r="C38" s="230">
        <f>0.0834*$G$23</f>
        <v>2.5020000000000001E-2</v>
      </c>
      <c r="D38" s="230"/>
      <c r="E38" s="265">
        <f t="shared" si="1"/>
        <v>0</v>
      </c>
      <c r="F38" s="576"/>
      <c r="G38" s="576"/>
      <c r="H38" s="266" t="str">
        <f t="shared" si="2"/>
        <v/>
      </c>
      <c r="I38" s="573"/>
      <c r="J38" s="196"/>
      <c r="K38" s="196"/>
    </row>
    <row r="39" spans="2:11" ht="52.5" customHeight="1" x14ac:dyDescent="0.2">
      <c r="B39" s="231" t="s">
        <v>277</v>
      </c>
      <c r="C39" s="559"/>
      <c r="D39" s="560"/>
      <c r="E39" s="560"/>
      <c r="F39" s="560"/>
      <c r="G39" s="560"/>
      <c r="H39" s="560"/>
      <c r="I39" s="561"/>
      <c r="J39" s="198"/>
      <c r="K39" s="198"/>
    </row>
    <row r="40" spans="2:11" ht="34.5" customHeight="1" x14ac:dyDescent="0.2">
      <c r="B40" s="562"/>
      <c r="C40" s="563"/>
      <c r="D40" s="563"/>
      <c r="E40" s="563"/>
      <c r="F40" s="563"/>
      <c r="G40" s="563"/>
      <c r="H40" s="563"/>
      <c r="I40" s="564"/>
      <c r="J40" s="175"/>
      <c r="K40" s="175"/>
    </row>
    <row r="41" spans="2:11" ht="34.5" customHeight="1" x14ac:dyDescent="0.2">
      <c r="B41" s="565"/>
      <c r="C41" s="566"/>
      <c r="D41" s="566"/>
      <c r="E41" s="566"/>
      <c r="F41" s="566"/>
      <c r="G41" s="566"/>
      <c r="H41" s="566"/>
      <c r="I41" s="567"/>
      <c r="J41" s="198"/>
      <c r="K41" s="198"/>
    </row>
    <row r="42" spans="2:11" ht="34.5" customHeight="1" x14ac:dyDescent="0.2">
      <c r="B42" s="565"/>
      <c r="C42" s="566"/>
      <c r="D42" s="566"/>
      <c r="E42" s="566"/>
      <c r="F42" s="566"/>
      <c r="G42" s="566"/>
      <c r="H42" s="566"/>
      <c r="I42" s="567"/>
      <c r="J42" s="198"/>
      <c r="K42" s="198"/>
    </row>
    <row r="43" spans="2:11" ht="34.5" customHeight="1" x14ac:dyDescent="0.2">
      <c r="B43" s="565"/>
      <c r="C43" s="566"/>
      <c r="D43" s="566"/>
      <c r="E43" s="566"/>
      <c r="F43" s="566"/>
      <c r="G43" s="566"/>
      <c r="H43" s="566"/>
      <c r="I43" s="567"/>
      <c r="J43" s="198"/>
      <c r="K43" s="198"/>
    </row>
    <row r="44" spans="2:11" ht="34.5" customHeight="1" x14ac:dyDescent="0.2">
      <c r="B44" s="568"/>
      <c r="C44" s="569"/>
      <c r="D44" s="569"/>
      <c r="E44" s="569"/>
      <c r="F44" s="569"/>
      <c r="G44" s="569"/>
      <c r="H44" s="569"/>
      <c r="I44" s="570"/>
      <c r="J44" s="174"/>
      <c r="K44" s="174"/>
    </row>
    <row r="45" spans="2:11" ht="409.6" customHeight="1" x14ac:dyDescent="0.2">
      <c r="B45" s="226" t="s">
        <v>278</v>
      </c>
      <c r="C45" s="559" t="s">
        <v>392</v>
      </c>
      <c r="D45" s="560"/>
      <c r="E45" s="560"/>
      <c r="F45" s="560"/>
      <c r="G45" s="560"/>
      <c r="H45" s="560"/>
      <c r="I45" s="561"/>
      <c r="J45" s="199"/>
      <c r="K45" s="199"/>
    </row>
    <row r="46" spans="2:11" ht="64.900000000000006" customHeight="1" x14ac:dyDescent="0.2">
      <c r="B46" s="226" t="s">
        <v>279</v>
      </c>
      <c r="C46" s="585" t="s">
        <v>391</v>
      </c>
      <c r="D46" s="586"/>
      <c r="E46" s="586"/>
      <c r="F46" s="586"/>
      <c r="G46" s="586"/>
      <c r="H46" s="586"/>
      <c r="I46" s="587"/>
      <c r="J46" s="199"/>
      <c r="K46" s="199"/>
    </row>
    <row r="47" spans="2:11" ht="66" customHeight="1" x14ac:dyDescent="0.2">
      <c r="B47" s="232" t="s">
        <v>280</v>
      </c>
      <c r="C47" s="588" t="s">
        <v>374</v>
      </c>
      <c r="D47" s="589"/>
      <c r="E47" s="589"/>
      <c r="F47" s="589"/>
      <c r="G47" s="589"/>
      <c r="H47" s="589"/>
      <c r="I47" s="590"/>
      <c r="J47" s="199"/>
      <c r="K47" s="199"/>
    </row>
    <row r="48" spans="2:11" ht="22.5" customHeight="1" x14ac:dyDescent="0.2">
      <c r="B48" s="510" t="s">
        <v>236</v>
      </c>
      <c r="C48" s="511"/>
      <c r="D48" s="511"/>
      <c r="E48" s="511"/>
      <c r="F48" s="511"/>
      <c r="G48" s="511"/>
      <c r="H48" s="511"/>
      <c r="I48" s="512"/>
      <c r="J48" s="199"/>
      <c r="K48" s="199"/>
    </row>
    <row r="49" spans="2:11" ht="22.5" customHeight="1" x14ac:dyDescent="0.2">
      <c r="B49" s="581" t="s">
        <v>281</v>
      </c>
      <c r="C49" s="220" t="s">
        <v>282</v>
      </c>
      <c r="D49" s="583" t="s">
        <v>283</v>
      </c>
      <c r="E49" s="583"/>
      <c r="F49" s="583"/>
      <c r="G49" s="583" t="s">
        <v>284</v>
      </c>
      <c r="H49" s="583"/>
      <c r="I49" s="584"/>
      <c r="J49" s="200"/>
      <c r="K49" s="200"/>
    </row>
    <row r="50" spans="2:11" ht="30.75" customHeight="1" x14ac:dyDescent="0.2">
      <c r="B50" s="582"/>
      <c r="C50" s="234"/>
      <c r="D50" s="608"/>
      <c r="E50" s="608"/>
      <c r="F50" s="608"/>
      <c r="G50" s="608"/>
      <c r="H50" s="608"/>
      <c r="I50" s="609"/>
      <c r="J50" s="200"/>
      <c r="K50" s="200"/>
    </row>
    <row r="51" spans="2:11" ht="32.25" customHeight="1" x14ac:dyDescent="0.2">
      <c r="B51" s="235" t="s">
        <v>285</v>
      </c>
      <c r="C51" s="637" t="s">
        <v>346</v>
      </c>
      <c r="D51" s="637"/>
      <c r="E51" s="637"/>
      <c r="F51" s="637"/>
      <c r="G51" s="637"/>
      <c r="H51" s="637"/>
      <c r="I51" s="638"/>
      <c r="J51" s="202"/>
      <c r="K51" s="202"/>
    </row>
    <row r="52" spans="2:11" ht="28.5" customHeight="1" x14ac:dyDescent="0.2">
      <c r="B52" s="236" t="s">
        <v>286</v>
      </c>
      <c r="C52" s="637" t="s">
        <v>347</v>
      </c>
      <c r="D52" s="637"/>
      <c r="E52" s="637"/>
      <c r="F52" s="637"/>
      <c r="G52" s="637"/>
      <c r="H52" s="637"/>
      <c r="I52" s="638"/>
      <c r="J52" s="202"/>
      <c r="K52" s="202"/>
    </row>
    <row r="53" spans="2:11" ht="30" customHeight="1" x14ac:dyDescent="0.2">
      <c r="B53" s="232" t="s">
        <v>287</v>
      </c>
      <c r="C53" s="637" t="s">
        <v>348</v>
      </c>
      <c r="D53" s="637"/>
      <c r="E53" s="637"/>
      <c r="F53" s="637"/>
      <c r="G53" s="637"/>
      <c r="H53" s="637"/>
      <c r="I53" s="638"/>
      <c r="J53" s="203"/>
      <c r="K53" s="203"/>
    </row>
    <row r="54" spans="2:11" ht="31.5" customHeight="1" thickBot="1" x14ac:dyDescent="0.25">
      <c r="B54" s="213" t="s">
        <v>288</v>
      </c>
      <c r="C54" s="707"/>
      <c r="D54" s="708"/>
      <c r="E54" s="708"/>
      <c r="F54" s="708"/>
      <c r="G54" s="708"/>
      <c r="H54" s="708"/>
      <c r="I54" s="709"/>
      <c r="J54" s="204"/>
      <c r="K54" s="204"/>
    </row>
    <row r="55" spans="2:11" x14ac:dyDescent="0.2">
      <c r="B55" s="205"/>
      <c r="C55" s="206"/>
      <c r="D55" s="206"/>
      <c r="E55" s="207"/>
      <c r="F55" s="207"/>
      <c r="G55" s="214"/>
      <c r="H55" s="209"/>
      <c r="I55" s="206"/>
      <c r="J55" s="204"/>
      <c r="K55" s="204"/>
    </row>
    <row r="56" spans="2:11" x14ac:dyDescent="0.2">
      <c r="B56" s="205"/>
      <c r="C56" s="206"/>
      <c r="D56" s="206"/>
      <c r="E56" s="207"/>
      <c r="F56" s="207"/>
      <c r="G56" s="214"/>
      <c r="H56" s="209"/>
      <c r="I56" s="206"/>
      <c r="J56" s="204"/>
      <c r="K56" s="204"/>
    </row>
    <row r="57" spans="2:11" x14ac:dyDescent="0.2">
      <c r="B57" s="205"/>
      <c r="C57" s="206"/>
      <c r="D57" s="206"/>
      <c r="E57" s="207"/>
      <c r="F57" s="207"/>
      <c r="G57" s="214"/>
      <c r="H57" s="209"/>
      <c r="I57" s="206"/>
      <c r="J57" s="204"/>
      <c r="K57" s="204"/>
    </row>
    <row r="58" spans="2:11" x14ac:dyDescent="0.2">
      <c r="B58" s="205"/>
      <c r="C58" s="206"/>
      <c r="D58" s="206"/>
      <c r="E58" s="207"/>
      <c r="F58" s="207"/>
      <c r="G58" s="214"/>
      <c r="H58" s="209"/>
      <c r="I58" s="206"/>
      <c r="J58" s="204"/>
      <c r="K58" s="204"/>
    </row>
    <row r="59" spans="2:11" x14ac:dyDescent="0.2">
      <c r="B59" s="205"/>
      <c r="C59" s="206"/>
      <c r="D59" s="206"/>
      <c r="E59" s="207"/>
      <c r="F59" s="207"/>
      <c r="G59" s="214"/>
      <c r="H59" s="209"/>
      <c r="I59" s="206"/>
      <c r="J59" s="204"/>
      <c r="K59" s="204"/>
    </row>
    <row r="60" spans="2:11" ht="25.5" customHeight="1" x14ac:dyDescent="0.2">
      <c r="B60" s="205"/>
      <c r="C60" s="206"/>
      <c r="D60" s="206"/>
      <c r="E60" s="207"/>
      <c r="F60" s="207"/>
      <c r="G60" s="214"/>
      <c r="H60" s="209"/>
      <c r="I60" s="206"/>
      <c r="J60" s="204"/>
      <c r="K60" s="204"/>
    </row>
  </sheetData>
  <sheetProtection algorithmName="SHA-512" hashValue="igeXvBMoi/VDO0I/N6wRRxKPWKPYmQCc70ISfCorbyA5NkniLMK1Ag6bTh916YbXUrjg0/jcDp1KxvrJQCi53g==" saltValue="3k4WS+BTdQY+EnIsF6r4O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60"/>
  <sheetViews>
    <sheetView topLeftCell="C37" zoomScaleNormal="100" zoomScalePageLayoutView="85" workbookViewId="0">
      <selection activeCell="H28" sqref="H28"/>
    </sheetView>
  </sheetViews>
  <sheetFormatPr baseColWidth="10" defaultColWidth="10.85546875" defaultRowHeight="12.75" x14ac:dyDescent="0.2"/>
  <cols>
    <col min="1" max="1" width="1" style="173" customWidth="1"/>
    <col min="2" max="2" width="25.42578125" style="210" customWidth="1"/>
    <col min="3" max="3" width="14.42578125" style="173" customWidth="1"/>
    <col min="4" max="4" width="20.140625" style="173" customWidth="1"/>
    <col min="5" max="5" width="16.42578125" style="173" customWidth="1"/>
    <col min="6" max="6" width="25" style="173" customWidth="1"/>
    <col min="7" max="7" width="22" style="210" customWidth="1"/>
    <col min="8" max="8" width="20.42578125" style="173" customWidth="1"/>
    <col min="9" max="11" width="22.42578125" style="173" customWidth="1"/>
    <col min="12" max="24" width="10.85546875" style="171"/>
    <col min="25" max="16384" width="10.85546875" style="173"/>
  </cols>
  <sheetData>
    <row r="1" spans="2:14" ht="37.5" customHeight="1" x14ac:dyDescent="0.2">
      <c r="B1" s="498"/>
      <c r="C1" s="501" t="s">
        <v>25</v>
      </c>
      <c r="D1" s="501"/>
      <c r="E1" s="501"/>
      <c r="F1" s="501"/>
      <c r="G1" s="501"/>
      <c r="H1" s="501"/>
      <c r="I1" s="502"/>
      <c r="J1" s="170"/>
      <c r="K1" s="170"/>
      <c r="M1" s="172" t="s">
        <v>47</v>
      </c>
    </row>
    <row r="2" spans="2:14" ht="37.5" customHeight="1" x14ac:dyDescent="0.2">
      <c r="B2" s="499"/>
      <c r="C2" s="505" t="s">
        <v>239</v>
      </c>
      <c r="D2" s="505"/>
      <c r="E2" s="505"/>
      <c r="F2" s="505"/>
      <c r="G2" s="505"/>
      <c r="H2" s="505"/>
      <c r="I2" s="503"/>
      <c r="J2" s="170"/>
      <c r="K2" s="170"/>
      <c r="M2" s="172" t="s">
        <v>48</v>
      </c>
    </row>
    <row r="3" spans="2:14" ht="37.5" customHeight="1" thickBot="1" x14ac:dyDescent="0.25">
      <c r="B3" s="500"/>
      <c r="C3" s="506" t="s">
        <v>240</v>
      </c>
      <c r="D3" s="506"/>
      <c r="E3" s="506"/>
      <c r="F3" s="506" t="s">
        <v>241</v>
      </c>
      <c r="G3" s="506"/>
      <c r="H3" s="506"/>
      <c r="I3" s="504"/>
      <c r="J3" s="170"/>
      <c r="K3" s="170"/>
      <c r="M3" s="172" t="s">
        <v>50</v>
      </c>
    </row>
    <row r="4" spans="2:14" ht="23.25" customHeight="1" x14ac:dyDescent="0.2">
      <c r="B4" s="507"/>
      <c r="C4" s="508"/>
      <c r="D4" s="508"/>
      <c r="E4" s="508"/>
      <c r="F4" s="508"/>
      <c r="G4" s="508"/>
      <c r="H4" s="508"/>
      <c r="I4" s="509"/>
      <c r="J4" s="174"/>
      <c r="K4" s="174"/>
    </row>
    <row r="5" spans="2:14" ht="24" customHeight="1" x14ac:dyDescent="0.2">
      <c r="B5" s="510" t="s">
        <v>234</v>
      </c>
      <c r="C5" s="511"/>
      <c r="D5" s="511"/>
      <c r="E5" s="511"/>
      <c r="F5" s="511"/>
      <c r="G5" s="511"/>
      <c r="H5" s="511"/>
      <c r="I5" s="512"/>
      <c r="J5" s="175"/>
      <c r="K5" s="175"/>
      <c r="N5" s="176" t="s">
        <v>57</v>
      </c>
    </row>
    <row r="6" spans="2:14" ht="30.75" customHeight="1" x14ac:dyDescent="0.2">
      <c r="B6" s="226" t="s">
        <v>242</v>
      </c>
      <c r="C6" s="224">
        <v>6</v>
      </c>
      <c r="D6" s="513" t="s">
        <v>243</v>
      </c>
      <c r="E6" s="513"/>
      <c r="F6" s="514" t="str">
        <f>'[7]Proyecto 7550'!$N$60</f>
        <v>Realizar un diagnostico de fortalecimiento institucional que cumpla con las necesidades de los procesos transversales del IDPYBA</v>
      </c>
      <c r="G6" s="514"/>
      <c r="H6" s="514"/>
      <c r="I6" s="515"/>
      <c r="J6" s="177"/>
      <c r="K6" s="177"/>
      <c r="M6" s="172" t="s">
        <v>60</v>
      </c>
      <c r="N6" s="176" t="s">
        <v>61</v>
      </c>
    </row>
    <row r="7" spans="2:14" ht="30.75" customHeight="1" x14ac:dyDescent="0.2">
      <c r="B7" s="226" t="s">
        <v>244</v>
      </c>
      <c r="C7" s="224" t="s">
        <v>81</v>
      </c>
      <c r="D7" s="513" t="s">
        <v>245</v>
      </c>
      <c r="E7" s="513"/>
      <c r="F7" s="514" t="s">
        <v>298</v>
      </c>
      <c r="G7" s="514"/>
      <c r="H7" s="178" t="s">
        <v>246</v>
      </c>
      <c r="I7" s="225" t="s">
        <v>81</v>
      </c>
      <c r="J7" s="179"/>
      <c r="K7" s="179"/>
      <c r="M7" s="172" t="s">
        <v>65</v>
      </c>
      <c r="N7" s="176" t="s">
        <v>66</v>
      </c>
    </row>
    <row r="8" spans="2:14" ht="30.75" customHeight="1" x14ac:dyDescent="0.2">
      <c r="B8" s="226" t="s">
        <v>247</v>
      </c>
      <c r="C8" s="514" t="s">
        <v>289</v>
      </c>
      <c r="D8" s="514"/>
      <c r="E8" s="514"/>
      <c r="F8" s="514"/>
      <c r="G8" s="178" t="s">
        <v>248</v>
      </c>
      <c r="H8" s="519">
        <v>7550</v>
      </c>
      <c r="I8" s="520"/>
      <c r="J8" s="180"/>
      <c r="K8" s="180"/>
      <c r="M8" s="172" t="s">
        <v>69</v>
      </c>
      <c r="N8" s="176" t="s">
        <v>70</v>
      </c>
    </row>
    <row r="9" spans="2:14" ht="30.75" customHeight="1" x14ac:dyDescent="0.2">
      <c r="B9" s="226" t="s">
        <v>48</v>
      </c>
      <c r="C9" s="521" t="s">
        <v>60</v>
      </c>
      <c r="D9" s="521"/>
      <c r="E9" s="521"/>
      <c r="F9" s="521"/>
      <c r="G9" s="178" t="s">
        <v>249</v>
      </c>
      <c r="H9" s="522" t="s">
        <v>295</v>
      </c>
      <c r="I9" s="523"/>
      <c r="J9" s="181"/>
      <c r="K9" s="181"/>
      <c r="M9" s="182" t="s">
        <v>73</v>
      </c>
    </row>
    <row r="10" spans="2:14" ht="75.75" customHeight="1" x14ac:dyDescent="0.2">
      <c r="B10" s="226" t="s">
        <v>250</v>
      </c>
      <c r="C10" s="514" t="s">
        <v>376</v>
      </c>
      <c r="D10" s="514"/>
      <c r="E10" s="514"/>
      <c r="F10" s="514"/>
      <c r="G10" s="514"/>
      <c r="H10" s="514"/>
      <c r="I10" s="515"/>
      <c r="J10" s="183"/>
      <c r="K10" s="183"/>
      <c r="M10" s="182"/>
    </row>
    <row r="11" spans="2:14" ht="30.75" customHeight="1" x14ac:dyDescent="0.2">
      <c r="B11" s="226" t="s">
        <v>251</v>
      </c>
      <c r="C11" s="516" t="str">
        <f>'[7]Proyecto 7550'!$E$53</f>
        <v>Realizar el fortalecimiento institucional de la estructura orgánica y funcional de la SDA, IDIGER, JBB, E IDPYBA</v>
      </c>
      <c r="D11" s="516"/>
      <c r="E11" s="516"/>
      <c r="F11" s="516"/>
      <c r="G11" s="516"/>
      <c r="H11" s="516"/>
      <c r="I11" s="700"/>
      <c r="J11" s="179"/>
      <c r="K11" s="179"/>
      <c r="M11" s="182"/>
      <c r="N11" s="176" t="s">
        <v>76</v>
      </c>
    </row>
    <row r="12" spans="2:14" ht="30.75" customHeight="1" x14ac:dyDescent="0.2">
      <c r="B12" s="226" t="s">
        <v>254</v>
      </c>
      <c r="C12" s="524" t="s">
        <v>334</v>
      </c>
      <c r="D12" s="524"/>
      <c r="E12" s="524"/>
      <c r="F12" s="524"/>
      <c r="G12" s="178" t="s">
        <v>252</v>
      </c>
      <c r="H12" s="544" t="s">
        <v>91</v>
      </c>
      <c r="I12" s="545"/>
      <c r="J12" s="179"/>
      <c r="K12" s="179"/>
      <c r="M12" s="182" t="s">
        <v>80</v>
      </c>
      <c r="N12" s="176" t="s">
        <v>81</v>
      </c>
    </row>
    <row r="13" spans="2:14" ht="30.75" customHeight="1" x14ac:dyDescent="0.2">
      <c r="B13" s="226" t="s">
        <v>255</v>
      </c>
      <c r="C13" s="528" t="s">
        <v>349</v>
      </c>
      <c r="D13" s="528"/>
      <c r="E13" s="528"/>
      <c r="F13" s="528"/>
      <c r="G13" s="178" t="s">
        <v>253</v>
      </c>
      <c r="H13" s="516" t="s">
        <v>57</v>
      </c>
      <c r="I13" s="700"/>
      <c r="J13" s="179"/>
      <c r="K13" s="179"/>
      <c r="M13" s="182" t="s">
        <v>84</v>
      </c>
    </row>
    <row r="14" spans="2:14" ht="30" customHeight="1" x14ac:dyDescent="0.2">
      <c r="B14" s="226" t="s">
        <v>256</v>
      </c>
      <c r="C14" s="619" t="s">
        <v>328</v>
      </c>
      <c r="D14" s="619"/>
      <c r="E14" s="619"/>
      <c r="F14" s="619"/>
      <c r="G14" s="619"/>
      <c r="H14" s="619"/>
      <c r="I14" s="620"/>
      <c r="J14" s="183"/>
      <c r="K14" s="183"/>
      <c r="M14" s="182" t="s">
        <v>86</v>
      </c>
      <c r="N14" s="176"/>
    </row>
    <row r="15" spans="2:14" ht="30.75" customHeight="1" x14ac:dyDescent="0.2">
      <c r="B15" s="226" t="s">
        <v>257</v>
      </c>
      <c r="C15" s="517" t="s">
        <v>315</v>
      </c>
      <c r="D15" s="517"/>
      <c r="E15" s="517"/>
      <c r="F15" s="517"/>
      <c r="G15" s="517"/>
      <c r="H15" s="517"/>
      <c r="I15" s="518"/>
      <c r="J15" s="184"/>
      <c r="K15" s="184"/>
      <c r="M15" s="182" t="s">
        <v>88</v>
      </c>
      <c r="N15" s="176"/>
    </row>
    <row r="16" spans="2:14" ht="20.25" customHeight="1" x14ac:dyDescent="0.2">
      <c r="B16" s="226" t="s">
        <v>258</v>
      </c>
      <c r="C16" s="514" t="s">
        <v>311</v>
      </c>
      <c r="D16" s="514"/>
      <c r="E16" s="514"/>
      <c r="F16" s="514"/>
      <c r="G16" s="514"/>
      <c r="H16" s="514"/>
      <c r="I16" s="515"/>
      <c r="J16" s="185"/>
      <c r="K16" s="185"/>
      <c r="M16" s="182"/>
      <c r="N16" s="176"/>
    </row>
    <row r="17" spans="2:14" ht="30.75" customHeight="1" x14ac:dyDescent="0.2">
      <c r="B17" s="226" t="s">
        <v>259</v>
      </c>
      <c r="C17" s="516" t="s">
        <v>151</v>
      </c>
      <c r="D17" s="535"/>
      <c r="E17" s="535"/>
      <c r="F17" s="535"/>
      <c r="G17" s="535"/>
      <c r="H17" s="535"/>
      <c r="I17" s="536"/>
      <c r="J17" s="186"/>
      <c r="K17" s="186"/>
      <c r="M17" s="182" t="s">
        <v>91</v>
      </c>
      <c r="N17" s="176"/>
    </row>
    <row r="18" spans="2:14" ht="18" customHeight="1" x14ac:dyDescent="0.2">
      <c r="B18" s="537" t="s">
        <v>265</v>
      </c>
      <c r="C18" s="538" t="s">
        <v>237</v>
      </c>
      <c r="D18" s="538"/>
      <c r="E18" s="538"/>
      <c r="F18" s="539" t="s">
        <v>238</v>
      </c>
      <c r="G18" s="539"/>
      <c r="H18" s="539"/>
      <c r="I18" s="540"/>
      <c r="J18" s="187"/>
      <c r="K18" s="187"/>
      <c r="M18" s="182" t="s">
        <v>79</v>
      </c>
      <c r="N18" s="176"/>
    </row>
    <row r="19" spans="2:14" ht="39.75" customHeight="1" x14ac:dyDescent="0.2">
      <c r="B19" s="537"/>
      <c r="C19" s="549" t="s">
        <v>296</v>
      </c>
      <c r="D19" s="550"/>
      <c r="E19" s="622"/>
      <c r="F19" s="514" t="str">
        <f>C19</f>
        <v>Actividades que se ejecutaron para la implementacion de los procesos transversales</v>
      </c>
      <c r="G19" s="514"/>
      <c r="H19" s="514"/>
      <c r="I19" s="515"/>
      <c r="J19" s="185"/>
      <c r="K19" s="185"/>
      <c r="M19" s="182" t="s">
        <v>95</v>
      </c>
      <c r="N19" s="176"/>
    </row>
    <row r="20" spans="2:14" ht="39.75" customHeight="1" x14ac:dyDescent="0.2">
      <c r="B20" s="226" t="s">
        <v>266</v>
      </c>
      <c r="C20" s="549" t="s">
        <v>297</v>
      </c>
      <c r="D20" s="550"/>
      <c r="E20" s="622"/>
      <c r="F20" s="514" t="str">
        <f>C20</f>
        <v>Cantidad de actividades que se ejecutaron para la implementacion de los procesos transversales</v>
      </c>
      <c r="G20" s="514"/>
      <c r="H20" s="514"/>
      <c r="I20" s="515"/>
      <c r="J20" s="179"/>
      <c r="K20" s="179"/>
      <c r="M20" s="182"/>
      <c r="N20" s="176"/>
    </row>
    <row r="21" spans="2:14" ht="30" customHeight="1" x14ac:dyDescent="0.2">
      <c r="B21" s="226" t="s">
        <v>267</v>
      </c>
      <c r="C21" s="710"/>
      <c r="D21" s="711"/>
      <c r="E21" s="712"/>
      <c r="F21" s="557"/>
      <c r="G21" s="530"/>
      <c r="H21" s="530"/>
      <c r="I21" s="558"/>
      <c r="J21" s="184"/>
      <c r="K21" s="184"/>
      <c r="M21" s="188"/>
      <c r="N21" s="176"/>
    </row>
    <row r="22" spans="2:14" ht="23.25" customHeight="1" x14ac:dyDescent="0.2">
      <c r="B22" s="226" t="s">
        <v>268</v>
      </c>
      <c r="C22" s="529">
        <v>44197</v>
      </c>
      <c r="D22" s="552"/>
      <c r="E22" s="553"/>
      <c r="F22" s="178" t="s">
        <v>271</v>
      </c>
      <c r="G22" s="267">
        <v>8.7999999999999995E-2</v>
      </c>
      <c r="H22" s="178" t="s">
        <v>275</v>
      </c>
      <c r="I22" s="268">
        <v>8.7999999999999995E-2</v>
      </c>
      <c r="J22" s="189"/>
      <c r="K22" s="189"/>
      <c r="M22" s="188"/>
    </row>
    <row r="23" spans="2:14" ht="27" customHeight="1" x14ac:dyDescent="0.2">
      <c r="B23" s="226" t="s">
        <v>269</v>
      </c>
      <c r="C23" s="529">
        <v>44561</v>
      </c>
      <c r="D23" s="530"/>
      <c r="E23" s="531"/>
      <c r="F23" s="178" t="s">
        <v>272</v>
      </c>
      <c r="G23" s="532">
        <v>0.3</v>
      </c>
      <c r="H23" s="533"/>
      <c r="I23" s="534"/>
      <c r="J23" s="190"/>
      <c r="K23" s="190"/>
      <c r="M23" s="188"/>
    </row>
    <row r="24" spans="2:14" ht="30.75" customHeight="1" x14ac:dyDescent="0.2">
      <c r="B24" s="233" t="s">
        <v>270</v>
      </c>
      <c r="C24" s="554" t="s">
        <v>326</v>
      </c>
      <c r="D24" s="555"/>
      <c r="E24" s="556"/>
      <c r="F24" s="229" t="s">
        <v>274</v>
      </c>
      <c r="G24" s="557" t="s">
        <v>223</v>
      </c>
      <c r="H24" s="530"/>
      <c r="I24" s="558"/>
      <c r="J24" s="187"/>
      <c r="K24" s="187"/>
      <c r="M24" s="188"/>
    </row>
    <row r="25" spans="2:14" ht="22.5" customHeight="1" x14ac:dyDescent="0.2">
      <c r="B25" s="510" t="s">
        <v>235</v>
      </c>
      <c r="C25" s="511"/>
      <c r="D25" s="511"/>
      <c r="E25" s="511"/>
      <c r="F25" s="511"/>
      <c r="G25" s="511"/>
      <c r="H25" s="511"/>
      <c r="I25" s="512"/>
      <c r="J25" s="175"/>
      <c r="K25" s="175"/>
      <c r="M25" s="188"/>
    </row>
    <row r="26" spans="2:14" ht="43.5" customHeight="1" x14ac:dyDescent="0.2">
      <c r="B26" s="191" t="s">
        <v>105</v>
      </c>
      <c r="C26" s="223" t="s">
        <v>261</v>
      </c>
      <c r="D26" s="223" t="s">
        <v>260</v>
      </c>
      <c r="E26" s="192" t="s">
        <v>264</v>
      </c>
      <c r="F26" s="223" t="s">
        <v>263</v>
      </c>
      <c r="G26" s="223" t="s">
        <v>262</v>
      </c>
      <c r="H26" s="192" t="s">
        <v>276</v>
      </c>
      <c r="I26" s="193" t="s">
        <v>273</v>
      </c>
      <c r="J26" s="185"/>
      <c r="K26" s="185"/>
      <c r="M26" s="188"/>
    </row>
    <row r="27" spans="2:14" ht="15.6" customHeight="1" x14ac:dyDescent="0.2">
      <c r="B27" s="191" t="s">
        <v>329</v>
      </c>
      <c r="C27" s="230">
        <f>0.084*$G$23</f>
        <v>2.52E-2</v>
      </c>
      <c r="D27" s="230">
        <v>2.52E-2</v>
      </c>
      <c r="E27" s="265">
        <f>IF(OR(C27=0,C27=""),0,D27/C27)</f>
        <v>1</v>
      </c>
      <c r="F27" s="574">
        <f>SUM(C27:C38)</f>
        <v>0.3024</v>
      </c>
      <c r="G27" s="574">
        <f>SUM(D27:D38)</f>
        <v>4.9215599999999998E-2</v>
      </c>
      <c r="H27" s="266">
        <f>+(D27*100%)/$G$23</f>
        <v>8.4000000000000005E-2</v>
      </c>
      <c r="I27" s="685">
        <f>G27+I22</f>
        <v>0.13721559999999999</v>
      </c>
      <c r="J27" s="185"/>
      <c r="K27" s="185"/>
      <c r="M27" s="188"/>
    </row>
    <row r="28" spans="2:14" ht="15.6" customHeight="1" x14ac:dyDescent="0.2">
      <c r="B28" s="191" t="s">
        <v>114</v>
      </c>
      <c r="C28" s="230">
        <f t="shared" ref="C28:C38" si="0">0.084*$G$23</f>
        <v>2.52E-2</v>
      </c>
      <c r="D28" s="230">
        <v>2.4015599999999998E-2</v>
      </c>
      <c r="E28" s="265">
        <f t="shared" ref="E28:E38" si="1">IF(OR(C28=0,C28=""),0,D28/C28)</f>
        <v>0.95299999999999996</v>
      </c>
      <c r="F28" s="575"/>
      <c r="G28" s="575"/>
      <c r="H28" s="266">
        <f>+IF(D28="","",((D28*100%)/$G$23)+H27)</f>
        <v>0.164052</v>
      </c>
      <c r="I28" s="686"/>
      <c r="J28" s="185"/>
      <c r="K28" s="185"/>
      <c r="M28" s="188"/>
    </row>
    <row r="29" spans="2:14" ht="15.6" customHeight="1" x14ac:dyDescent="0.2">
      <c r="B29" s="191" t="s">
        <v>115</v>
      </c>
      <c r="C29" s="230">
        <f t="shared" si="0"/>
        <v>2.52E-2</v>
      </c>
      <c r="D29" s="230"/>
      <c r="E29" s="265">
        <f t="shared" si="1"/>
        <v>0</v>
      </c>
      <c r="F29" s="575"/>
      <c r="G29" s="575"/>
      <c r="H29" s="266" t="str">
        <f t="shared" ref="H29:H38" si="2">+IF(D29="","",((D29*100%)/$G$23)+H28)</f>
        <v/>
      </c>
      <c r="I29" s="686"/>
      <c r="J29" s="185"/>
      <c r="K29" s="185"/>
      <c r="M29" s="188"/>
    </row>
    <row r="30" spans="2:14" ht="15.6" customHeight="1" x14ac:dyDescent="0.2">
      <c r="B30" s="191" t="s">
        <v>116</v>
      </c>
      <c r="C30" s="230">
        <f t="shared" si="0"/>
        <v>2.52E-2</v>
      </c>
      <c r="D30" s="230"/>
      <c r="E30" s="265">
        <f t="shared" si="1"/>
        <v>0</v>
      </c>
      <c r="F30" s="575"/>
      <c r="G30" s="575"/>
      <c r="H30" s="266" t="str">
        <f t="shared" si="2"/>
        <v/>
      </c>
      <c r="I30" s="686"/>
      <c r="J30" s="185"/>
      <c r="K30" s="185"/>
      <c r="M30" s="188"/>
    </row>
    <row r="31" spans="2:14" ht="15.6" customHeight="1" x14ac:dyDescent="0.2">
      <c r="B31" s="191" t="s">
        <v>117</v>
      </c>
      <c r="C31" s="230">
        <f t="shared" si="0"/>
        <v>2.52E-2</v>
      </c>
      <c r="D31" s="230"/>
      <c r="E31" s="265">
        <f t="shared" si="1"/>
        <v>0</v>
      </c>
      <c r="F31" s="575"/>
      <c r="G31" s="575"/>
      <c r="H31" s="266" t="str">
        <f t="shared" si="2"/>
        <v/>
      </c>
      <c r="I31" s="686"/>
      <c r="J31" s="185"/>
      <c r="K31" s="185"/>
      <c r="M31" s="188"/>
    </row>
    <row r="32" spans="2:14" ht="15.6" customHeight="1" x14ac:dyDescent="0.2">
      <c r="B32" s="191" t="s">
        <v>118</v>
      </c>
      <c r="C32" s="230">
        <f t="shared" si="0"/>
        <v>2.52E-2</v>
      </c>
      <c r="D32" s="230"/>
      <c r="E32" s="265">
        <f t="shared" si="1"/>
        <v>0</v>
      </c>
      <c r="F32" s="575"/>
      <c r="G32" s="575"/>
      <c r="H32" s="266" t="str">
        <f t="shared" si="2"/>
        <v/>
      </c>
      <c r="I32" s="686"/>
      <c r="J32" s="185"/>
      <c r="K32" s="185"/>
      <c r="M32" s="188"/>
    </row>
    <row r="33" spans="2:11" ht="19.5" customHeight="1" x14ac:dyDescent="0.2">
      <c r="B33" s="191" t="s">
        <v>119</v>
      </c>
      <c r="C33" s="230">
        <f t="shared" si="0"/>
        <v>2.52E-2</v>
      </c>
      <c r="D33" s="230"/>
      <c r="E33" s="265">
        <f t="shared" si="1"/>
        <v>0</v>
      </c>
      <c r="F33" s="575"/>
      <c r="G33" s="575"/>
      <c r="H33" s="266" t="str">
        <f t="shared" si="2"/>
        <v/>
      </c>
      <c r="I33" s="686"/>
      <c r="J33" s="196"/>
      <c r="K33" s="196"/>
    </row>
    <row r="34" spans="2:11" ht="19.5" customHeight="1" x14ac:dyDescent="0.2">
      <c r="B34" s="191" t="s">
        <v>120</v>
      </c>
      <c r="C34" s="230">
        <f t="shared" si="0"/>
        <v>2.52E-2</v>
      </c>
      <c r="D34" s="230"/>
      <c r="E34" s="265">
        <f t="shared" si="1"/>
        <v>0</v>
      </c>
      <c r="F34" s="575"/>
      <c r="G34" s="575"/>
      <c r="H34" s="266" t="str">
        <f t="shared" si="2"/>
        <v/>
      </c>
      <c r="I34" s="686"/>
      <c r="J34" s="196"/>
      <c r="K34" s="196"/>
    </row>
    <row r="35" spans="2:11" ht="19.5" customHeight="1" x14ac:dyDescent="0.2">
      <c r="B35" s="191" t="s">
        <v>121</v>
      </c>
      <c r="C35" s="230">
        <f t="shared" si="0"/>
        <v>2.52E-2</v>
      </c>
      <c r="D35" s="230"/>
      <c r="E35" s="265">
        <f t="shared" si="1"/>
        <v>0</v>
      </c>
      <c r="F35" s="575"/>
      <c r="G35" s="575"/>
      <c r="H35" s="266" t="str">
        <f t="shared" si="2"/>
        <v/>
      </c>
      <c r="I35" s="686"/>
      <c r="J35" s="196"/>
      <c r="K35" s="196"/>
    </row>
    <row r="36" spans="2:11" ht="19.5" customHeight="1" x14ac:dyDescent="0.2">
      <c r="B36" s="191" t="s">
        <v>122</v>
      </c>
      <c r="C36" s="230">
        <f t="shared" si="0"/>
        <v>2.52E-2</v>
      </c>
      <c r="D36" s="230"/>
      <c r="E36" s="265">
        <f t="shared" si="1"/>
        <v>0</v>
      </c>
      <c r="F36" s="575"/>
      <c r="G36" s="575"/>
      <c r="H36" s="266" t="str">
        <f t="shared" si="2"/>
        <v/>
      </c>
      <c r="I36" s="686"/>
      <c r="J36" s="196"/>
      <c r="K36" s="196"/>
    </row>
    <row r="37" spans="2:11" ht="19.5" customHeight="1" x14ac:dyDescent="0.2">
      <c r="B37" s="191" t="s">
        <v>123</v>
      </c>
      <c r="C37" s="230">
        <f t="shared" si="0"/>
        <v>2.52E-2</v>
      </c>
      <c r="D37" s="230"/>
      <c r="E37" s="265">
        <f t="shared" si="1"/>
        <v>0</v>
      </c>
      <c r="F37" s="575"/>
      <c r="G37" s="575"/>
      <c r="H37" s="266" t="str">
        <f t="shared" si="2"/>
        <v/>
      </c>
      <c r="I37" s="686"/>
      <c r="J37" s="196"/>
      <c r="K37" s="196"/>
    </row>
    <row r="38" spans="2:11" ht="19.5" customHeight="1" x14ac:dyDescent="0.2">
      <c r="B38" s="191" t="s">
        <v>124</v>
      </c>
      <c r="C38" s="230">
        <f t="shared" si="0"/>
        <v>2.52E-2</v>
      </c>
      <c r="D38" s="230"/>
      <c r="E38" s="265">
        <f t="shared" si="1"/>
        <v>0</v>
      </c>
      <c r="F38" s="576"/>
      <c r="G38" s="576"/>
      <c r="H38" s="266" t="str">
        <f t="shared" si="2"/>
        <v/>
      </c>
      <c r="I38" s="687"/>
      <c r="J38" s="196"/>
      <c r="K38" s="196"/>
    </row>
    <row r="39" spans="2:11" ht="52.5" customHeight="1" x14ac:dyDescent="0.2">
      <c r="B39" s="231" t="s">
        <v>277</v>
      </c>
      <c r="C39" s="559"/>
      <c r="D39" s="560"/>
      <c r="E39" s="560"/>
      <c r="F39" s="560"/>
      <c r="G39" s="560"/>
      <c r="H39" s="560"/>
      <c r="I39" s="561"/>
      <c r="J39" s="198"/>
      <c r="K39" s="198"/>
    </row>
    <row r="40" spans="2:11" ht="34.5" customHeight="1" x14ac:dyDescent="0.2">
      <c r="B40" s="562"/>
      <c r="C40" s="563"/>
      <c r="D40" s="563"/>
      <c r="E40" s="563"/>
      <c r="F40" s="563"/>
      <c r="G40" s="563"/>
      <c r="H40" s="563"/>
      <c r="I40" s="564"/>
      <c r="J40" s="175"/>
      <c r="K40" s="175"/>
    </row>
    <row r="41" spans="2:11" ht="34.5" customHeight="1" x14ac:dyDescent="0.2">
      <c r="B41" s="565"/>
      <c r="C41" s="566"/>
      <c r="D41" s="566"/>
      <c r="E41" s="566"/>
      <c r="F41" s="566"/>
      <c r="G41" s="566"/>
      <c r="H41" s="566"/>
      <c r="I41" s="567"/>
      <c r="J41" s="198"/>
      <c r="K41" s="198"/>
    </row>
    <row r="42" spans="2:11" ht="34.5" customHeight="1" x14ac:dyDescent="0.2">
      <c r="B42" s="565"/>
      <c r="C42" s="566"/>
      <c r="D42" s="566"/>
      <c r="E42" s="566"/>
      <c r="F42" s="566"/>
      <c r="G42" s="566"/>
      <c r="H42" s="566"/>
      <c r="I42" s="567"/>
      <c r="J42" s="198"/>
      <c r="K42" s="198"/>
    </row>
    <row r="43" spans="2:11" ht="34.5" customHeight="1" x14ac:dyDescent="0.2">
      <c r="B43" s="565"/>
      <c r="C43" s="566"/>
      <c r="D43" s="566"/>
      <c r="E43" s="566"/>
      <c r="F43" s="566"/>
      <c r="G43" s="566"/>
      <c r="H43" s="566"/>
      <c r="I43" s="567"/>
      <c r="J43" s="198"/>
      <c r="K43" s="198"/>
    </row>
    <row r="44" spans="2:11" ht="34.5" customHeight="1" x14ac:dyDescent="0.2">
      <c r="B44" s="568"/>
      <c r="C44" s="569"/>
      <c r="D44" s="569"/>
      <c r="E44" s="569"/>
      <c r="F44" s="569"/>
      <c r="G44" s="569"/>
      <c r="H44" s="569"/>
      <c r="I44" s="570"/>
      <c r="J44" s="174"/>
      <c r="K44" s="174"/>
    </row>
    <row r="45" spans="2:11" ht="372" customHeight="1" x14ac:dyDescent="0.2">
      <c r="B45" s="226" t="s">
        <v>278</v>
      </c>
      <c r="C45" s="713" t="s">
        <v>393</v>
      </c>
      <c r="D45" s="714"/>
      <c r="E45" s="714"/>
      <c r="F45" s="714"/>
      <c r="G45" s="714"/>
      <c r="H45" s="714"/>
      <c r="I45" s="715"/>
      <c r="J45" s="199"/>
      <c r="K45" s="199"/>
    </row>
    <row r="46" spans="2:11" ht="132" customHeight="1" x14ac:dyDescent="0.2">
      <c r="B46" s="226" t="s">
        <v>279</v>
      </c>
      <c r="C46" s="716" t="s">
        <v>394</v>
      </c>
      <c r="D46" s="714"/>
      <c r="E46" s="714"/>
      <c r="F46" s="714"/>
      <c r="G46" s="714"/>
      <c r="H46" s="714"/>
      <c r="I46" s="715"/>
      <c r="J46" s="199"/>
      <c r="K46" s="199"/>
    </row>
    <row r="47" spans="2:11" ht="113.25" customHeight="1" x14ac:dyDescent="0.2">
      <c r="B47" s="232" t="s">
        <v>280</v>
      </c>
      <c r="C47" s="717" t="s">
        <v>395</v>
      </c>
      <c r="D47" s="718"/>
      <c r="E47" s="718"/>
      <c r="F47" s="718"/>
      <c r="G47" s="718"/>
      <c r="H47" s="718"/>
      <c r="I47" s="719"/>
      <c r="J47" s="199"/>
      <c r="K47" s="199"/>
    </row>
    <row r="48" spans="2:11" ht="22.5" customHeight="1" x14ac:dyDescent="0.2">
      <c r="B48" s="510" t="s">
        <v>236</v>
      </c>
      <c r="C48" s="511"/>
      <c r="D48" s="511"/>
      <c r="E48" s="511"/>
      <c r="F48" s="511"/>
      <c r="G48" s="511"/>
      <c r="H48" s="511"/>
      <c r="I48" s="512"/>
      <c r="J48" s="199"/>
      <c r="K48" s="199"/>
    </row>
    <row r="49" spans="2:11" ht="22.5" customHeight="1" x14ac:dyDescent="0.2">
      <c r="B49" s="581" t="s">
        <v>281</v>
      </c>
      <c r="C49" s="220" t="s">
        <v>282</v>
      </c>
      <c r="D49" s="583" t="s">
        <v>283</v>
      </c>
      <c r="E49" s="583"/>
      <c r="F49" s="583"/>
      <c r="G49" s="583" t="s">
        <v>284</v>
      </c>
      <c r="H49" s="583"/>
      <c r="I49" s="584"/>
      <c r="J49" s="200"/>
      <c r="K49" s="200"/>
    </row>
    <row r="50" spans="2:11" ht="30.75" customHeight="1" x14ac:dyDescent="0.2">
      <c r="B50" s="582"/>
      <c r="C50" s="234"/>
      <c r="D50" s="608"/>
      <c r="E50" s="608"/>
      <c r="F50" s="608"/>
      <c r="G50" s="608"/>
      <c r="H50" s="608"/>
      <c r="I50" s="609"/>
      <c r="J50" s="200"/>
      <c r="K50" s="200"/>
    </row>
    <row r="51" spans="2:11" ht="32.25" customHeight="1" x14ac:dyDescent="0.2">
      <c r="B51" s="235" t="s">
        <v>285</v>
      </c>
      <c r="C51" s="720" t="s">
        <v>397</v>
      </c>
      <c r="D51" s="720"/>
      <c r="E51" s="720"/>
      <c r="F51" s="720"/>
      <c r="G51" s="720"/>
      <c r="H51" s="720"/>
      <c r="I51" s="721"/>
      <c r="J51" s="202"/>
      <c r="K51" s="202"/>
    </row>
    <row r="52" spans="2:11" ht="28.5" customHeight="1" x14ac:dyDescent="0.2">
      <c r="B52" s="236" t="s">
        <v>286</v>
      </c>
      <c r="C52" s="720" t="s">
        <v>397</v>
      </c>
      <c r="D52" s="720"/>
      <c r="E52" s="720"/>
      <c r="F52" s="720"/>
      <c r="G52" s="720"/>
      <c r="H52" s="720"/>
      <c r="I52" s="721"/>
      <c r="J52" s="202"/>
      <c r="K52" s="202"/>
    </row>
    <row r="53" spans="2:11" ht="30" customHeight="1" x14ac:dyDescent="0.2">
      <c r="B53" s="232" t="s">
        <v>287</v>
      </c>
      <c r="C53" s="608" t="s">
        <v>330</v>
      </c>
      <c r="D53" s="608"/>
      <c r="E53" s="608"/>
      <c r="F53" s="608"/>
      <c r="G53" s="608"/>
      <c r="H53" s="608"/>
      <c r="I53" s="609"/>
      <c r="J53" s="203"/>
      <c r="K53" s="203"/>
    </row>
    <row r="54" spans="2:11" ht="31.5" customHeight="1" thickBot="1" x14ac:dyDescent="0.25">
      <c r="B54" s="213" t="s">
        <v>288</v>
      </c>
      <c r="C54" s="610" t="s">
        <v>331</v>
      </c>
      <c r="D54" s="611"/>
      <c r="E54" s="611"/>
      <c r="F54" s="611"/>
      <c r="G54" s="611"/>
      <c r="H54" s="611"/>
      <c r="I54" s="612"/>
      <c r="J54" s="204"/>
      <c r="K54" s="204"/>
    </row>
    <row r="55" spans="2:11" x14ac:dyDescent="0.2">
      <c r="B55" s="205"/>
      <c r="C55" s="206"/>
      <c r="D55" s="206"/>
      <c r="E55" s="207"/>
      <c r="F55" s="207"/>
      <c r="G55" s="214"/>
      <c r="H55" s="209"/>
      <c r="I55" s="206"/>
      <c r="J55" s="204"/>
      <c r="K55" s="204"/>
    </row>
    <row r="56" spans="2:11" x14ac:dyDescent="0.2">
      <c r="B56" s="205"/>
      <c r="C56" s="206"/>
      <c r="D56" s="206"/>
      <c r="E56" s="207"/>
      <c r="F56" s="207"/>
      <c r="G56" s="214"/>
      <c r="H56" s="209"/>
      <c r="I56" s="206"/>
      <c r="J56" s="204"/>
      <c r="K56" s="204"/>
    </row>
    <row r="57" spans="2:11" x14ac:dyDescent="0.2">
      <c r="B57" s="205"/>
      <c r="C57" s="206"/>
      <c r="D57" s="206"/>
      <c r="E57" s="207"/>
      <c r="F57" s="207"/>
      <c r="G57" s="214"/>
      <c r="H57" s="209"/>
      <c r="I57" s="206"/>
      <c r="J57" s="204"/>
      <c r="K57" s="204"/>
    </row>
    <row r="58" spans="2:11" x14ac:dyDescent="0.2">
      <c r="B58" s="205"/>
      <c r="C58" s="206"/>
      <c r="D58" s="206"/>
      <c r="E58" s="207"/>
      <c r="F58" s="207"/>
      <c r="G58" s="214"/>
      <c r="H58" s="209"/>
      <c r="I58" s="206"/>
      <c r="J58" s="204"/>
      <c r="K58" s="204"/>
    </row>
    <row r="59" spans="2:11" x14ac:dyDescent="0.2">
      <c r="B59" s="205"/>
      <c r="C59" s="206"/>
      <c r="D59" s="206"/>
      <c r="E59" s="207"/>
      <c r="F59" s="207"/>
      <c r="G59" s="214"/>
      <c r="H59" s="209"/>
      <c r="I59" s="206"/>
      <c r="J59" s="204"/>
      <c r="K59" s="204"/>
    </row>
    <row r="60" spans="2:11" ht="25.5" customHeight="1" x14ac:dyDescent="0.2">
      <c r="B60" s="205"/>
      <c r="C60" s="206"/>
      <c r="D60" s="206"/>
      <c r="E60" s="207"/>
      <c r="F60" s="207"/>
      <c r="G60" s="214"/>
      <c r="H60" s="209"/>
      <c r="I60" s="206"/>
      <c r="J60" s="204"/>
      <c r="K60" s="204"/>
    </row>
  </sheetData>
  <sheetProtection algorithmName="SHA-512" hashValue="FOu6f3aNwNsJEfOo/9XV0iFKFjYbVsAWdKGSZZL5sBckIG2N32Vbu+PUXg5eFxWfoSW8RlgudKeTtMKoQcpZ0A==" saltValue="NvCDayuVkG/k/OI3HTAGw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1"/>
  <sheetViews>
    <sheetView topLeftCell="A22" zoomScaleNormal="100" zoomScaleSheetLayoutView="50" zoomScalePageLayoutView="85" workbookViewId="0">
      <selection activeCell="H28" sqref="H28"/>
    </sheetView>
  </sheetViews>
  <sheetFormatPr baseColWidth="10" defaultColWidth="10.85546875" defaultRowHeight="12.75" x14ac:dyDescent="0.2"/>
  <cols>
    <col min="1" max="1" width="1" style="173" customWidth="1"/>
    <col min="2" max="2" width="25.42578125" style="210" customWidth="1"/>
    <col min="3" max="3" width="14.42578125" style="173" customWidth="1"/>
    <col min="4" max="4" width="20.140625" style="173" customWidth="1"/>
    <col min="5" max="5" width="16.42578125" style="173" customWidth="1"/>
    <col min="6" max="6" width="25" style="173" customWidth="1"/>
    <col min="7" max="7" width="22" style="210" customWidth="1"/>
    <col min="8" max="8" width="20.42578125" style="173" customWidth="1"/>
    <col min="9" max="11" width="22.42578125" style="173" customWidth="1"/>
    <col min="12" max="24" width="10.85546875" style="171"/>
    <col min="25" max="16384" width="10.85546875" style="173"/>
  </cols>
  <sheetData>
    <row r="1" spans="2:14" ht="37.5" customHeight="1" x14ac:dyDescent="0.2">
      <c r="B1" s="498"/>
      <c r="C1" s="501" t="s">
        <v>25</v>
      </c>
      <c r="D1" s="501"/>
      <c r="E1" s="501"/>
      <c r="F1" s="501"/>
      <c r="G1" s="501"/>
      <c r="H1" s="501"/>
      <c r="I1" s="502"/>
      <c r="J1" s="170"/>
      <c r="K1" s="170"/>
      <c r="M1" s="172" t="s">
        <v>47</v>
      </c>
    </row>
    <row r="2" spans="2:14" ht="37.5" customHeight="1" x14ac:dyDescent="0.2">
      <c r="B2" s="499"/>
      <c r="C2" s="505" t="s">
        <v>239</v>
      </c>
      <c r="D2" s="505"/>
      <c r="E2" s="505"/>
      <c r="F2" s="505"/>
      <c r="G2" s="505"/>
      <c r="H2" s="505"/>
      <c r="I2" s="503"/>
      <c r="J2" s="170"/>
      <c r="K2" s="170"/>
      <c r="M2" s="172" t="s">
        <v>48</v>
      </c>
    </row>
    <row r="3" spans="2:14" ht="37.5" customHeight="1" thickBot="1" x14ac:dyDescent="0.25">
      <c r="B3" s="500"/>
      <c r="C3" s="506" t="s">
        <v>240</v>
      </c>
      <c r="D3" s="506"/>
      <c r="E3" s="506"/>
      <c r="F3" s="506" t="s">
        <v>241</v>
      </c>
      <c r="G3" s="506"/>
      <c r="H3" s="506"/>
      <c r="I3" s="504"/>
      <c r="J3" s="170"/>
      <c r="K3" s="170"/>
      <c r="M3" s="172" t="s">
        <v>50</v>
      </c>
    </row>
    <row r="4" spans="2:14" ht="23.25" customHeight="1" x14ac:dyDescent="0.2">
      <c r="B4" s="507"/>
      <c r="C4" s="508"/>
      <c r="D4" s="508"/>
      <c r="E4" s="508"/>
      <c r="F4" s="508"/>
      <c r="G4" s="508"/>
      <c r="H4" s="508"/>
      <c r="I4" s="509"/>
      <c r="J4" s="174"/>
      <c r="K4" s="174"/>
    </row>
    <row r="5" spans="2:14" ht="24" customHeight="1" x14ac:dyDescent="0.2">
      <c r="B5" s="510" t="s">
        <v>234</v>
      </c>
      <c r="C5" s="511"/>
      <c r="D5" s="511"/>
      <c r="E5" s="511"/>
      <c r="F5" s="511"/>
      <c r="G5" s="511"/>
      <c r="H5" s="511"/>
      <c r="I5" s="512"/>
      <c r="J5" s="175"/>
      <c r="K5" s="175"/>
      <c r="N5" s="176" t="s">
        <v>57</v>
      </c>
    </row>
    <row r="6" spans="2:14" ht="46.15" customHeight="1" x14ac:dyDescent="0.2">
      <c r="B6" s="226" t="s">
        <v>242</v>
      </c>
      <c r="C6" s="224">
        <v>7</v>
      </c>
      <c r="D6" s="513" t="s">
        <v>243</v>
      </c>
      <c r="E6" s="513"/>
      <c r="F6" s="514" t="s">
        <v>301</v>
      </c>
      <c r="G6" s="514"/>
      <c r="H6" s="514"/>
      <c r="I6" s="515"/>
      <c r="J6" s="177"/>
      <c r="K6" s="177"/>
      <c r="M6" s="172" t="s">
        <v>60</v>
      </c>
      <c r="N6" s="176" t="s">
        <v>61</v>
      </c>
    </row>
    <row r="7" spans="2:14" ht="30.75" customHeight="1" x14ac:dyDescent="0.2">
      <c r="B7" s="226" t="s">
        <v>244</v>
      </c>
      <c r="C7" s="224" t="s">
        <v>81</v>
      </c>
      <c r="D7" s="513" t="s">
        <v>245</v>
      </c>
      <c r="E7" s="513"/>
      <c r="F7" s="514" t="s">
        <v>302</v>
      </c>
      <c r="G7" s="514"/>
      <c r="H7" s="178" t="s">
        <v>246</v>
      </c>
      <c r="I7" s="225" t="s">
        <v>81</v>
      </c>
      <c r="J7" s="179"/>
      <c r="K7" s="179"/>
      <c r="M7" s="172" t="s">
        <v>65</v>
      </c>
      <c r="N7" s="176" t="s">
        <v>66</v>
      </c>
    </row>
    <row r="8" spans="2:14" ht="30.75" customHeight="1" x14ac:dyDescent="0.2">
      <c r="B8" s="226" t="s">
        <v>247</v>
      </c>
      <c r="C8" s="514" t="s">
        <v>289</v>
      </c>
      <c r="D8" s="514"/>
      <c r="E8" s="514"/>
      <c r="F8" s="514"/>
      <c r="G8" s="178" t="s">
        <v>248</v>
      </c>
      <c r="H8" s="519">
        <v>7550</v>
      </c>
      <c r="I8" s="520"/>
      <c r="J8" s="180"/>
      <c r="K8" s="180"/>
      <c r="M8" s="172" t="s">
        <v>69</v>
      </c>
      <c r="N8" s="176" t="s">
        <v>70</v>
      </c>
    </row>
    <row r="9" spans="2:14" ht="30.75" customHeight="1" x14ac:dyDescent="0.2">
      <c r="B9" s="226" t="s">
        <v>48</v>
      </c>
      <c r="C9" s="521" t="s">
        <v>60</v>
      </c>
      <c r="D9" s="521"/>
      <c r="E9" s="521"/>
      <c r="F9" s="521"/>
      <c r="G9" s="178" t="s">
        <v>249</v>
      </c>
      <c r="H9" s="522" t="s">
        <v>299</v>
      </c>
      <c r="I9" s="523"/>
      <c r="J9" s="181"/>
      <c r="K9" s="181"/>
      <c r="M9" s="182" t="s">
        <v>73</v>
      </c>
    </row>
    <row r="10" spans="2:14" ht="58.9" customHeight="1" x14ac:dyDescent="0.2">
      <c r="B10" s="226" t="s">
        <v>250</v>
      </c>
      <c r="C10" s="514" t="s">
        <v>377</v>
      </c>
      <c r="D10" s="514"/>
      <c r="E10" s="514"/>
      <c r="F10" s="514"/>
      <c r="G10" s="514"/>
      <c r="H10" s="514"/>
      <c r="I10" s="515"/>
      <c r="J10" s="183"/>
      <c r="K10" s="183"/>
      <c r="M10" s="182"/>
    </row>
    <row r="11" spans="2:14" ht="30.75" customHeight="1" x14ac:dyDescent="0.2">
      <c r="B11" s="226" t="s">
        <v>251</v>
      </c>
      <c r="C11" s="516" t="str">
        <f>'[7]Proyecto 7550'!$E$53</f>
        <v>Realizar el fortalecimiento institucional de la estructura orgánica y funcional de la SDA, IDIGER, JBB, E IDPYBA</v>
      </c>
      <c r="D11" s="516"/>
      <c r="E11" s="516"/>
      <c r="F11" s="516"/>
      <c r="G11" s="516"/>
      <c r="H11" s="516"/>
      <c r="I11" s="700"/>
      <c r="J11" s="179"/>
      <c r="K11" s="179"/>
      <c r="M11" s="182"/>
      <c r="N11" s="176" t="s">
        <v>76</v>
      </c>
    </row>
    <row r="12" spans="2:14" ht="30.75" customHeight="1" x14ac:dyDescent="0.2">
      <c r="B12" s="226" t="s">
        <v>254</v>
      </c>
      <c r="C12" s="517" t="s">
        <v>300</v>
      </c>
      <c r="D12" s="517"/>
      <c r="E12" s="517"/>
      <c r="F12" s="517"/>
      <c r="G12" s="178" t="s">
        <v>252</v>
      </c>
      <c r="H12" s="544" t="s">
        <v>91</v>
      </c>
      <c r="I12" s="545"/>
      <c r="J12" s="179"/>
      <c r="K12" s="179"/>
      <c r="M12" s="182" t="s">
        <v>80</v>
      </c>
      <c r="N12" s="176" t="s">
        <v>81</v>
      </c>
    </row>
    <row r="13" spans="2:14" ht="30.75" customHeight="1" x14ac:dyDescent="0.2">
      <c r="B13" s="226" t="s">
        <v>255</v>
      </c>
      <c r="C13" s="528" t="s">
        <v>349</v>
      </c>
      <c r="D13" s="528"/>
      <c r="E13" s="528"/>
      <c r="F13" s="528"/>
      <c r="G13" s="178" t="s">
        <v>253</v>
      </c>
      <c r="H13" s="516" t="s">
        <v>57</v>
      </c>
      <c r="I13" s="700"/>
      <c r="J13" s="179"/>
      <c r="K13" s="179"/>
      <c r="M13" s="182" t="s">
        <v>84</v>
      </c>
    </row>
    <row r="14" spans="2:14" ht="30" customHeight="1" x14ac:dyDescent="0.2">
      <c r="B14" s="226" t="s">
        <v>256</v>
      </c>
      <c r="C14" s="517" t="s">
        <v>317</v>
      </c>
      <c r="D14" s="517"/>
      <c r="E14" s="517"/>
      <c r="F14" s="517"/>
      <c r="G14" s="517"/>
      <c r="H14" s="517"/>
      <c r="I14" s="518"/>
      <c r="J14" s="183"/>
      <c r="K14" s="183"/>
      <c r="M14" s="182" t="s">
        <v>86</v>
      </c>
      <c r="N14" s="176"/>
    </row>
    <row r="15" spans="2:14" ht="30.75" customHeight="1" x14ac:dyDescent="0.2">
      <c r="B15" s="226" t="s">
        <v>257</v>
      </c>
      <c r="C15" s="517" t="s">
        <v>315</v>
      </c>
      <c r="D15" s="517"/>
      <c r="E15" s="517"/>
      <c r="F15" s="517"/>
      <c r="G15" s="517"/>
      <c r="H15" s="517"/>
      <c r="I15" s="518"/>
      <c r="J15" s="184"/>
      <c r="K15" s="184"/>
      <c r="M15" s="182" t="s">
        <v>88</v>
      </c>
      <c r="N15" s="176"/>
    </row>
    <row r="16" spans="2:14" ht="42.6" customHeight="1" x14ac:dyDescent="0.2">
      <c r="B16" s="226" t="s">
        <v>258</v>
      </c>
      <c r="C16" s="514" t="s">
        <v>318</v>
      </c>
      <c r="D16" s="514"/>
      <c r="E16" s="514"/>
      <c r="F16" s="514"/>
      <c r="G16" s="514"/>
      <c r="H16" s="514"/>
      <c r="I16" s="515"/>
      <c r="J16" s="185"/>
      <c r="K16" s="185"/>
      <c r="M16" s="182"/>
      <c r="N16" s="176"/>
    </row>
    <row r="17" spans="2:14" ht="30.75" customHeight="1" x14ac:dyDescent="0.2">
      <c r="B17" s="226" t="s">
        <v>259</v>
      </c>
      <c r="C17" s="516" t="s">
        <v>152</v>
      </c>
      <c r="D17" s="535"/>
      <c r="E17" s="535"/>
      <c r="F17" s="535"/>
      <c r="G17" s="535"/>
      <c r="H17" s="535"/>
      <c r="I17" s="536"/>
      <c r="J17" s="186"/>
      <c r="K17" s="186"/>
      <c r="M17" s="182" t="s">
        <v>91</v>
      </c>
      <c r="N17" s="176"/>
    </row>
    <row r="18" spans="2:14" ht="18" customHeight="1" x14ac:dyDescent="0.2">
      <c r="B18" s="537" t="s">
        <v>265</v>
      </c>
      <c r="C18" s="538" t="s">
        <v>237</v>
      </c>
      <c r="D18" s="538"/>
      <c r="E18" s="538"/>
      <c r="F18" s="539" t="s">
        <v>238</v>
      </c>
      <c r="G18" s="539"/>
      <c r="H18" s="539"/>
      <c r="I18" s="540"/>
      <c r="J18" s="187"/>
      <c r="K18" s="187"/>
      <c r="M18" s="182" t="s">
        <v>79</v>
      </c>
      <c r="N18" s="176"/>
    </row>
    <row r="19" spans="2:14" ht="39.75" customHeight="1" x14ac:dyDescent="0.2">
      <c r="B19" s="537"/>
      <c r="C19" s="549" t="s">
        <v>296</v>
      </c>
      <c r="D19" s="550"/>
      <c r="E19" s="622"/>
      <c r="F19" s="514" t="str">
        <f>C19</f>
        <v>Actividades que se ejecutaron para la implementacion de los procesos transversales</v>
      </c>
      <c r="G19" s="514"/>
      <c r="H19" s="514"/>
      <c r="I19" s="515"/>
      <c r="J19" s="185"/>
      <c r="K19" s="185"/>
      <c r="M19" s="182" t="s">
        <v>95</v>
      </c>
      <c r="N19" s="176"/>
    </row>
    <row r="20" spans="2:14" ht="39.75" customHeight="1" x14ac:dyDescent="0.2">
      <c r="B20" s="226" t="s">
        <v>266</v>
      </c>
      <c r="C20" s="549" t="s">
        <v>297</v>
      </c>
      <c r="D20" s="550"/>
      <c r="E20" s="622"/>
      <c r="F20" s="514" t="str">
        <f>C20</f>
        <v>Cantidad de actividades que se ejecutaron para la implementacion de los procesos transversales</v>
      </c>
      <c r="G20" s="514"/>
      <c r="H20" s="514"/>
      <c r="I20" s="515"/>
      <c r="J20" s="179"/>
      <c r="K20" s="179"/>
      <c r="M20" s="182"/>
      <c r="N20" s="176"/>
    </row>
    <row r="21" spans="2:14" ht="27" customHeight="1" x14ac:dyDescent="0.2">
      <c r="B21" s="226" t="s">
        <v>267</v>
      </c>
      <c r="C21" s="549" t="s">
        <v>152</v>
      </c>
      <c r="D21" s="550"/>
      <c r="E21" s="622"/>
      <c r="F21" s="549" t="s">
        <v>152</v>
      </c>
      <c r="G21" s="550"/>
      <c r="H21" s="550"/>
      <c r="I21" s="551"/>
      <c r="J21" s="184"/>
      <c r="K21" s="184"/>
      <c r="M21" s="188"/>
      <c r="N21" s="176"/>
    </row>
    <row r="22" spans="2:14" ht="23.25" customHeight="1" x14ac:dyDescent="0.2">
      <c r="B22" s="226" t="s">
        <v>268</v>
      </c>
      <c r="C22" s="592">
        <v>44197</v>
      </c>
      <c r="D22" s="603"/>
      <c r="E22" s="604"/>
      <c r="F22" s="178" t="s">
        <v>271</v>
      </c>
      <c r="G22" s="227">
        <v>0.1</v>
      </c>
      <c r="H22" s="178" t="s">
        <v>275</v>
      </c>
      <c r="I22" s="262">
        <v>0.1</v>
      </c>
      <c r="J22" s="173">
        <v>3.377402597402597E-2</v>
      </c>
      <c r="K22" s="189"/>
      <c r="M22" s="188"/>
    </row>
    <row r="23" spans="2:14" ht="27" customHeight="1" x14ac:dyDescent="0.2">
      <c r="B23" s="226" t="s">
        <v>269</v>
      </c>
      <c r="C23" s="592">
        <v>44561</v>
      </c>
      <c r="D23" s="593"/>
      <c r="E23" s="594"/>
      <c r="F23" s="178" t="s">
        <v>272</v>
      </c>
      <c r="G23" s="532">
        <v>0.3</v>
      </c>
      <c r="H23" s="533"/>
      <c r="I23" s="534"/>
      <c r="J23" s="190"/>
      <c r="K23" s="190"/>
      <c r="M23" s="188"/>
    </row>
    <row r="24" spans="2:14" ht="30.75" customHeight="1" x14ac:dyDescent="0.2">
      <c r="B24" s="233" t="s">
        <v>270</v>
      </c>
      <c r="C24" s="605" t="s">
        <v>326</v>
      </c>
      <c r="D24" s="606"/>
      <c r="E24" s="607"/>
      <c r="F24" s="229" t="s">
        <v>274</v>
      </c>
      <c r="G24" s="557" t="s">
        <v>223</v>
      </c>
      <c r="H24" s="530"/>
      <c r="I24" s="558"/>
      <c r="J24" s="187"/>
      <c r="K24" s="187"/>
      <c r="M24" s="188"/>
    </row>
    <row r="25" spans="2:14" ht="22.5" customHeight="1" x14ac:dyDescent="0.2">
      <c r="B25" s="510" t="s">
        <v>235</v>
      </c>
      <c r="C25" s="511"/>
      <c r="D25" s="511"/>
      <c r="E25" s="511"/>
      <c r="F25" s="511"/>
      <c r="G25" s="511"/>
      <c r="H25" s="511"/>
      <c r="I25" s="512"/>
      <c r="J25" s="175"/>
      <c r="K25" s="175"/>
      <c r="M25" s="188"/>
    </row>
    <row r="26" spans="2:14" ht="43.5" customHeight="1" x14ac:dyDescent="0.2">
      <c r="B26" s="191" t="s">
        <v>105</v>
      </c>
      <c r="C26" s="223" t="s">
        <v>261</v>
      </c>
      <c r="D26" s="223" t="s">
        <v>260</v>
      </c>
      <c r="E26" s="192" t="s">
        <v>264</v>
      </c>
      <c r="F26" s="223" t="s">
        <v>263</v>
      </c>
      <c r="G26" s="223" t="s">
        <v>262</v>
      </c>
      <c r="H26" s="192" t="s">
        <v>276</v>
      </c>
      <c r="I26" s="193" t="s">
        <v>273</v>
      </c>
      <c r="J26" s="185"/>
      <c r="K26" s="185"/>
      <c r="M26" s="188"/>
    </row>
    <row r="27" spans="2:14" ht="15.6" customHeight="1" x14ac:dyDescent="0.2">
      <c r="B27" s="191" t="s">
        <v>329</v>
      </c>
      <c r="C27" s="212">
        <f>0.0148*G23</f>
        <v>4.4400000000000004E-3</v>
      </c>
      <c r="D27" s="264">
        <v>4.4400000000000004E-3</v>
      </c>
      <c r="E27" s="265">
        <f>IF(OR(C27=0,C27=""),0,D27/C27)</f>
        <v>1</v>
      </c>
      <c r="F27" s="574">
        <f>SUM(C27:C38)</f>
        <v>0.29999520000000007</v>
      </c>
      <c r="G27" s="574">
        <f>SUM(D27:D38)</f>
        <v>2.7588599999999998E-2</v>
      </c>
      <c r="H27" s="266">
        <f>+(D27*100%)/$G$23</f>
        <v>1.4800000000000002E-2</v>
      </c>
      <c r="I27" s="685">
        <f>G27+I22</f>
        <v>0.1275886</v>
      </c>
      <c r="J27" s="185"/>
      <c r="K27" s="185"/>
      <c r="M27" s="188"/>
    </row>
    <row r="28" spans="2:14" ht="15.6" customHeight="1" x14ac:dyDescent="0.2">
      <c r="B28" s="191" t="s">
        <v>114</v>
      </c>
      <c r="C28" s="212">
        <f>0.109162121212121*G23</f>
        <v>3.2748636363636299E-2</v>
      </c>
      <c r="D28" s="264">
        <f>0.077162*G23</f>
        <v>2.3148599999999998E-2</v>
      </c>
      <c r="E28" s="265">
        <f t="shared" ref="E28:E38" si="0">IF(OR(C28=0,C28=""),0,D28/C28)</f>
        <v>0.70685691284855856</v>
      </c>
      <c r="F28" s="575"/>
      <c r="G28" s="575"/>
      <c r="H28" s="266">
        <f>+IF(D28="","",((D28*100%)/$G$23)+H27)</f>
        <v>9.1962000000000002E-2</v>
      </c>
      <c r="I28" s="686"/>
      <c r="J28" s="185"/>
      <c r="K28" s="185"/>
      <c r="M28" s="188"/>
    </row>
    <row r="29" spans="2:14" ht="15.6" customHeight="1" x14ac:dyDescent="0.2">
      <c r="B29" s="191" t="s">
        <v>115</v>
      </c>
      <c r="C29" s="212">
        <f>0.139956787878788*G23</f>
        <v>4.1987036363636404E-2</v>
      </c>
      <c r="D29" s="264"/>
      <c r="E29" s="265">
        <f t="shared" si="0"/>
        <v>0</v>
      </c>
      <c r="F29" s="575"/>
      <c r="G29" s="575"/>
      <c r="H29" s="266" t="str">
        <f t="shared" ref="H29:H38" si="1">+IF(D29="","",((D29*100%)/$G$23)+H28)</f>
        <v/>
      </c>
      <c r="I29" s="686"/>
      <c r="J29" s="185"/>
      <c r="K29" s="185"/>
      <c r="M29" s="188"/>
    </row>
    <row r="30" spans="2:14" ht="15.6" customHeight="1" x14ac:dyDescent="0.2">
      <c r="B30" s="191" t="s">
        <v>116</v>
      </c>
      <c r="C30" s="212">
        <f>0.149162121212121*G23</f>
        <v>4.4748636363636296E-2</v>
      </c>
      <c r="D30" s="264"/>
      <c r="E30" s="265">
        <f t="shared" si="0"/>
        <v>0</v>
      </c>
      <c r="F30" s="575"/>
      <c r="G30" s="575"/>
      <c r="H30" s="266" t="str">
        <f t="shared" si="1"/>
        <v/>
      </c>
      <c r="I30" s="686"/>
      <c r="J30" s="185"/>
      <c r="K30" s="185"/>
      <c r="M30" s="188"/>
    </row>
    <row r="31" spans="2:14" ht="15.6" customHeight="1" x14ac:dyDescent="0.2">
      <c r="B31" s="191" t="s">
        <v>117</v>
      </c>
      <c r="C31" s="212">
        <f>0.130895454545455*G23</f>
        <v>3.9268636363636499E-2</v>
      </c>
      <c r="D31" s="264"/>
      <c r="E31" s="265">
        <f t="shared" si="0"/>
        <v>0</v>
      </c>
      <c r="F31" s="575"/>
      <c r="G31" s="575"/>
      <c r="H31" s="266" t="str">
        <f t="shared" si="1"/>
        <v/>
      </c>
      <c r="I31" s="686"/>
      <c r="J31" s="185"/>
      <c r="K31" s="185"/>
      <c r="M31" s="188"/>
    </row>
    <row r="32" spans="2:14" ht="15.6" customHeight="1" x14ac:dyDescent="0.2">
      <c r="B32" s="191" t="s">
        <v>118</v>
      </c>
      <c r="C32" s="212">
        <f>0.0965853593073593*G23</f>
        <v>2.8975607792207789E-2</v>
      </c>
      <c r="D32" s="264"/>
      <c r="E32" s="265">
        <f t="shared" si="0"/>
        <v>0</v>
      </c>
      <c r="F32" s="575"/>
      <c r="G32" s="575"/>
      <c r="H32" s="266" t="str">
        <f t="shared" si="1"/>
        <v/>
      </c>
      <c r="I32" s="686"/>
      <c r="J32" s="185"/>
      <c r="K32" s="185"/>
      <c r="M32" s="188"/>
    </row>
    <row r="33" spans="2:11" ht="19.5" customHeight="1" x14ac:dyDescent="0.2">
      <c r="B33" s="191" t="s">
        <v>119</v>
      </c>
      <c r="C33" s="212">
        <f>0.084524025974026*G23</f>
        <v>2.5357207792207799E-2</v>
      </c>
      <c r="D33" s="264"/>
      <c r="E33" s="265">
        <f t="shared" si="0"/>
        <v>0</v>
      </c>
      <c r="F33" s="575"/>
      <c r="G33" s="575"/>
      <c r="H33" s="266" t="str">
        <f t="shared" si="1"/>
        <v/>
      </c>
      <c r="I33" s="686"/>
      <c r="J33" s="196"/>
      <c r="K33" s="196"/>
    </row>
    <row r="34" spans="2:11" ht="19.5" customHeight="1" x14ac:dyDescent="0.2">
      <c r="B34" s="191" t="s">
        <v>120</v>
      </c>
      <c r="C34" s="212">
        <f>0.080524025974026*G23</f>
        <v>2.4157207792207799E-2</v>
      </c>
      <c r="D34" s="264"/>
      <c r="E34" s="265">
        <f t="shared" si="0"/>
        <v>0</v>
      </c>
      <c r="F34" s="575"/>
      <c r="G34" s="575"/>
      <c r="H34" s="266" t="str">
        <f t="shared" si="1"/>
        <v/>
      </c>
      <c r="I34" s="686"/>
      <c r="J34" s="196"/>
      <c r="K34" s="196"/>
    </row>
    <row r="35" spans="2:11" ht="19.5" customHeight="1" x14ac:dyDescent="0.2">
      <c r="B35" s="191" t="s">
        <v>121</v>
      </c>
      <c r="C35" s="212">
        <f>0.069052025974026*G23</f>
        <v>2.07156077922078E-2</v>
      </c>
      <c r="D35" s="264"/>
      <c r="E35" s="265">
        <f t="shared" si="0"/>
        <v>0</v>
      </c>
      <c r="F35" s="575"/>
      <c r="G35" s="575"/>
      <c r="H35" s="266" t="str">
        <f t="shared" si="1"/>
        <v/>
      </c>
      <c r="I35" s="686"/>
      <c r="J35" s="196"/>
      <c r="K35" s="196"/>
    </row>
    <row r="36" spans="2:11" ht="19.5" customHeight="1" x14ac:dyDescent="0.2">
      <c r="B36" s="191" t="s">
        <v>122</v>
      </c>
      <c r="C36" s="212">
        <f>0.057774025974026*G23</f>
        <v>1.7332207792207798E-2</v>
      </c>
      <c r="D36" s="264"/>
      <c r="E36" s="265">
        <f t="shared" si="0"/>
        <v>0</v>
      </c>
      <c r="F36" s="575"/>
      <c r="G36" s="575"/>
      <c r="H36" s="266" t="str">
        <f t="shared" si="1"/>
        <v/>
      </c>
      <c r="I36" s="686"/>
      <c r="J36" s="196"/>
      <c r="K36" s="196"/>
    </row>
    <row r="37" spans="2:11" ht="19.5" customHeight="1" x14ac:dyDescent="0.2">
      <c r="B37" s="191" t="s">
        <v>123</v>
      </c>
      <c r="C37" s="212">
        <f>0.033774025974026*G23</f>
        <v>1.0132207792207798E-2</v>
      </c>
      <c r="D37" s="264"/>
      <c r="E37" s="265">
        <f t="shared" si="0"/>
        <v>0</v>
      </c>
      <c r="F37" s="575"/>
      <c r="G37" s="575"/>
      <c r="H37" s="266" t="str">
        <f t="shared" si="1"/>
        <v/>
      </c>
      <c r="I37" s="686"/>
      <c r="J37" s="196"/>
      <c r="K37" s="196"/>
    </row>
    <row r="38" spans="2:11" ht="19.5" customHeight="1" x14ac:dyDescent="0.2">
      <c r="B38" s="191" t="s">
        <v>124</v>
      </c>
      <c r="C38" s="212">
        <f>0.033774025974026*G23</f>
        <v>1.0132207792207798E-2</v>
      </c>
      <c r="D38" s="264"/>
      <c r="E38" s="265">
        <f t="shared" si="0"/>
        <v>0</v>
      </c>
      <c r="F38" s="576"/>
      <c r="G38" s="576"/>
      <c r="H38" s="266" t="str">
        <f t="shared" si="1"/>
        <v/>
      </c>
      <c r="I38" s="687"/>
      <c r="J38" s="196"/>
      <c r="K38" s="196"/>
    </row>
    <row r="39" spans="2:11" ht="52.5" customHeight="1" x14ac:dyDescent="0.2">
      <c r="B39" s="231" t="s">
        <v>277</v>
      </c>
      <c r="C39" s="559"/>
      <c r="D39" s="560"/>
      <c r="E39" s="560"/>
      <c r="F39" s="560"/>
      <c r="G39" s="560"/>
      <c r="H39" s="560"/>
      <c r="I39" s="561"/>
      <c r="J39" s="198"/>
      <c r="K39" s="198"/>
    </row>
    <row r="40" spans="2:11" ht="34.5" customHeight="1" x14ac:dyDescent="0.2">
      <c r="B40" s="562"/>
      <c r="C40" s="563"/>
      <c r="D40" s="563"/>
      <c r="E40" s="563"/>
      <c r="F40" s="563"/>
      <c r="G40" s="563"/>
      <c r="H40" s="563"/>
      <c r="I40" s="564"/>
      <c r="J40" s="175"/>
      <c r="K40" s="175"/>
    </row>
    <row r="41" spans="2:11" ht="34.5" customHeight="1" x14ac:dyDescent="0.2">
      <c r="B41" s="565"/>
      <c r="C41" s="566"/>
      <c r="D41" s="566"/>
      <c r="E41" s="566"/>
      <c r="F41" s="566"/>
      <c r="G41" s="566"/>
      <c r="H41" s="566"/>
      <c r="I41" s="567"/>
      <c r="J41" s="198"/>
      <c r="K41" s="198"/>
    </row>
    <row r="42" spans="2:11" ht="34.5" customHeight="1" x14ac:dyDescent="0.2">
      <c r="B42" s="565"/>
      <c r="C42" s="566"/>
      <c r="D42" s="566"/>
      <c r="E42" s="566"/>
      <c r="F42" s="566"/>
      <c r="G42" s="566"/>
      <c r="H42" s="566"/>
      <c r="I42" s="567"/>
      <c r="J42" s="198"/>
      <c r="K42" s="198"/>
    </row>
    <row r="43" spans="2:11" ht="34.5" customHeight="1" x14ac:dyDescent="0.2">
      <c r="B43" s="565"/>
      <c r="C43" s="566"/>
      <c r="D43" s="566"/>
      <c r="E43" s="566"/>
      <c r="F43" s="566"/>
      <c r="G43" s="566"/>
      <c r="H43" s="566"/>
      <c r="I43" s="567"/>
      <c r="J43" s="198"/>
      <c r="K43" s="198"/>
    </row>
    <row r="44" spans="2:11" ht="34.5" customHeight="1" x14ac:dyDescent="0.2">
      <c r="B44" s="568"/>
      <c r="C44" s="569"/>
      <c r="D44" s="569"/>
      <c r="E44" s="569"/>
      <c r="F44" s="569"/>
      <c r="G44" s="569"/>
      <c r="H44" s="569"/>
      <c r="I44" s="570"/>
      <c r="J44" s="174"/>
      <c r="K44" s="174"/>
    </row>
    <row r="45" spans="2:11" ht="96.75" customHeight="1" x14ac:dyDescent="0.2">
      <c r="B45" s="226" t="s">
        <v>278</v>
      </c>
      <c r="C45" s="585" t="s">
        <v>396</v>
      </c>
      <c r="D45" s="586"/>
      <c r="E45" s="586"/>
      <c r="F45" s="586"/>
      <c r="G45" s="586"/>
      <c r="H45" s="586"/>
      <c r="I45" s="587"/>
      <c r="J45" s="199"/>
      <c r="K45" s="199"/>
    </row>
    <row r="46" spans="2:11" ht="64.900000000000006" customHeight="1" x14ac:dyDescent="0.2">
      <c r="B46" s="226" t="s">
        <v>279</v>
      </c>
      <c r="C46" s="585" t="s">
        <v>398</v>
      </c>
      <c r="D46" s="586"/>
      <c r="E46" s="586"/>
      <c r="F46" s="586"/>
      <c r="G46" s="586"/>
      <c r="H46" s="586"/>
      <c r="I46" s="587"/>
      <c r="J46" s="199"/>
      <c r="K46" s="199"/>
    </row>
    <row r="47" spans="2:11" ht="66" customHeight="1" x14ac:dyDescent="0.2">
      <c r="B47" s="232" t="s">
        <v>280</v>
      </c>
      <c r="C47" s="588" t="s">
        <v>337</v>
      </c>
      <c r="D47" s="589"/>
      <c r="E47" s="589"/>
      <c r="F47" s="589"/>
      <c r="G47" s="589"/>
      <c r="H47" s="589"/>
      <c r="I47" s="590"/>
      <c r="J47" s="199"/>
      <c r="K47" s="199"/>
    </row>
    <row r="48" spans="2:11" ht="22.5" customHeight="1" x14ac:dyDescent="0.2">
      <c r="B48" s="510" t="s">
        <v>236</v>
      </c>
      <c r="C48" s="511"/>
      <c r="D48" s="511"/>
      <c r="E48" s="511"/>
      <c r="F48" s="511"/>
      <c r="G48" s="511"/>
      <c r="H48" s="511"/>
      <c r="I48" s="512"/>
      <c r="J48" s="199"/>
      <c r="K48" s="199"/>
    </row>
    <row r="49" spans="2:11" ht="22.5" customHeight="1" x14ac:dyDescent="0.2">
      <c r="B49" s="581" t="s">
        <v>281</v>
      </c>
      <c r="C49" s="220" t="s">
        <v>282</v>
      </c>
      <c r="D49" s="583" t="s">
        <v>283</v>
      </c>
      <c r="E49" s="583"/>
      <c r="F49" s="583"/>
      <c r="G49" s="583" t="s">
        <v>284</v>
      </c>
      <c r="H49" s="583"/>
      <c r="I49" s="584"/>
      <c r="J49" s="200"/>
      <c r="K49" s="200"/>
    </row>
    <row r="50" spans="2:11" ht="30.75" customHeight="1" x14ac:dyDescent="0.2">
      <c r="B50" s="582"/>
      <c r="C50" s="263"/>
      <c r="D50" s="637"/>
      <c r="E50" s="637"/>
      <c r="F50" s="637"/>
      <c r="G50" s="637"/>
      <c r="H50" s="637"/>
      <c r="I50" s="638"/>
      <c r="J50" s="200"/>
      <c r="K50" s="200"/>
    </row>
    <row r="51" spans="2:11" ht="32.25" customHeight="1" x14ac:dyDescent="0.2">
      <c r="B51" s="235" t="s">
        <v>285</v>
      </c>
      <c r="C51" s="637" t="s">
        <v>345</v>
      </c>
      <c r="D51" s="637"/>
      <c r="E51" s="637"/>
      <c r="F51" s="637"/>
      <c r="G51" s="637"/>
      <c r="H51" s="637"/>
      <c r="I51" s="638"/>
      <c r="J51" s="202"/>
      <c r="K51" s="202"/>
    </row>
    <row r="52" spans="2:11" ht="28.5" customHeight="1" x14ac:dyDescent="0.2">
      <c r="B52" s="236" t="s">
        <v>286</v>
      </c>
      <c r="C52" s="637" t="s">
        <v>345</v>
      </c>
      <c r="D52" s="637"/>
      <c r="E52" s="637"/>
      <c r="F52" s="637"/>
      <c r="G52" s="637"/>
      <c r="H52" s="637"/>
      <c r="I52" s="638"/>
      <c r="J52" s="202"/>
      <c r="K52" s="202"/>
    </row>
    <row r="53" spans="2:11" ht="30" customHeight="1" x14ac:dyDescent="0.2">
      <c r="B53" s="232" t="s">
        <v>287</v>
      </c>
      <c r="C53" s="637" t="s">
        <v>330</v>
      </c>
      <c r="D53" s="637"/>
      <c r="E53" s="637"/>
      <c r="F53" s="637"/>
      <c r="G53" s="637"/>
      <c r="H53" s="637"/>
      <c r="I53" s="638"/>
      <c r="J53" s="203"/>
      <c r="K53" s="203"/>
    </row>
    <row r="54" spans="2:11" ht="31.5" customHeight="1" thickBot="1" x14ac:dyDescent="0.25">
      <c r="B54" s="213" t="s">
        <v>288</v>
      </c>
      <c r="C54" s="707" t="s">
        <v>331</v>
      </c>
      <c r="D54" s="708"/>
      <c r="E54" s="708"/>
      <c r="F54" s="708"/>
      <c r="G54" s="708"/>
      <c r="H54" s="708"/>
      <c r="I54" s="709"/>
      <c r="J54" s="204"/>
      <c r="K54" s="204"/>
    </row>
    <row r="55" spans="2:11" ht="13.15" customHeight="1" x14ac:dyDescent="0.2">
      <c r="B55" s="205"/>
      <c r="C55" s="206"/>
      <c r="D55" s="206"/>
      <c r="E55" s="207"/>
      <c r="F55" s="207"/>
      <c r="G55" s="214"/>
      <c r="H55" s="209"/>
      <c r="I55" s="206"/>
      <c r="J55" s="204"/>
      <c r="K55" s="204"/>
    </row>
    <row r="56" spans="2:11" ht="13.15" customHeight="1" x14ac:dyDescent="0.2">
      <c r="B56" s="205"/>
      <c r="C56" s="206"/>
      <c r="D56" s="206"/>
      <c r="E56" s="207"/>
      <c r="F56" s="207"/>
      <c r="G56" s="214"/>
      <c r="H56" s="209"/>
      <c r="I56" s="206"/>
      <c r="J56" s="204"/>
      <c r="K56" s="204"/>
    </row>
    <row r="57" spans="2:11" ht="13.15" customHeight="1" x14ac:dyDescent="0.2">
      <c r="B57" s="205"/>
      <c r="C57" s="206"/>
      <c r="D57" s="206"/>
      <c r="E57" s="207"/>
      <c r="F57" s="207"/>
      <c r="G57" s="214"/>
      <c r="H57" s="209"/>
      <c r="I57" s="206"/>
      <c r="J57" s="204"/>
      <c r="K57" s="204"/>
    </row>
    <row r="58" spans="2:11" ht="13.15" customHeight="1" x14ac:dyDescent="0.2">
      <c r="B58" s="205"/>
      <c r="C58" s="206"/>
      <c r="D58" s="206"/>
      <c r="E58" s="207"/>
      <c r="F58" s="207"/>
      <c r="G58" s="214"/>
      <c r="H58" s="209"/>
      <c r="I58" s="206"/>
      <c r="J58" s="204"/>
      <c r="K58" s="204"/>
    </row>
    <row r="59" spans="2:11" ht="13.15" customHeight="1" x14ac:dyDescent="0.2">
      <c r="B59" s="205"/>
      <c r="C59" s="206"/>
      <c r="D59" s="206"/>
      <c r="E59" s="207"/>
      <c r="F59" s="207"/>
      <c r="G59" s="214"/>
      <c r="H59" s="209"/>
      <c r="I59" s="206"/>
      <c r="J59" s="204"/>
      <c r="K59" s="204"/>
    </row>
    <row r="60" spans="2:11" ht="25.5" customHeight="1" x14ac:dyDescent="0.2">
      <c r="B60" s="205"/>
      <c r="C60" s="206"/>
      <c r="D60" s="206"/>
      <c r="E60" s="207"/>
      <c r="F60" s="207"/>
      <c r="G60" s="214"/>
      <c r="H60" s="209"/>
      <c r="I60" s="206"/>
      <c r="J60" s="204"/>
      <c r="K60" s="204"/>
    </row>
    <row r="61" spans="2:11" ht="13.9" customHeight="1" x14ac:dyDescent="0.2"/>
  </sheetData>
  <sheetProtection algorithmName="SHA-512" hashValue="KUHAvr5x3bnZaC+UxEaRC8JlUqVCDcl9wZW3fcvu17CHdO9Hnhws+1mbU1s8IRZ3rpmGuNwwizXaUVJtCHf8QQ==" saltValue="IQRm5M/NncAHGJtVz6swo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63"/>
      <c r="C2" s="361" t="s">
        <v>24</v>
      </c>
      <c r="D2" s="361"/>
      <c r="E2" s="361"/>
      <c r="F2" s="361"/>
      <c r="G2" s="361"/>
      <c r="H2" s="361"/>
      <c r="I2" s="365"/>
      <c r="J2" s="13"/>
      <c r="K2" s="13"/>
      <c r="M2" s="14" t="s">
        <v>47</v>
      </c>
    </row>
    <row r="3" spans="2:14" ht="25.5" customHeight="1" x14ac:dyDescent="0.2">
      <c r="B3" s="364"/>
      <c r="C3" s="362" t="s">
        <v>25</v>
      </c>
      <c r="D3" s="362"/>
      <c r="E3" s="362"/>
      <c r="F3" s="362"/>
      <c r="G3" s="362"/>
      <c r="H3" s="362"/>
      <c r="I3" s="366"/>
      <c r="J3" s="13"/>
      <c r="K3" s="13"/>
      <c r="M3" s="14" t="s">
        <v>48</v>
      </c>
    </row>
    <row r="4" spans="2:14" ht="25.5" customHeight="1" x14ac:dyDescent="0.2">
      <c r="B4" s="364"/>
      <c r="C4" s="362" t="s">
        <v>49</v>
      </c>
      <c r="D4" s="362"/>
      <c r="E4" s="362"/>
      <c r="F4" s="362"/>
      <c r="G4" s="362"/>
      <c r="H4" s="362"/>
      <c r="I4" s="366"/>
      <c r="J4" s="13"/>
      <c r="K4" s="13"/>
      <c r="M4" s="14" t="s">
        <v>50</v>
      </c>
    </row>
    <row r="5" spans="2:14" ht="25.5" customHeight="1" x14ac:dyDescent="0.2">
      <c r="B5" s="364"/>
      <c r="C5" s="362" t="s">
        <v>51</v>
      </c>
      <c r="D5" s="362"/>
      <c r="E5" s="362"/>
      <c r="F5" s="362"/>
      <c r="G5" s="367" t="s">
        <v>52</v>
      </c>
      <c r="H5" s="367"/>
      <c r="I5" s="366"/>
      <c r="J5" s="13"/>
      <c r="K5" s="13"/>
      <c r="M5" s="14" t="s">
        <v>53</v>
      </c>
    </row>
    <row r="6" spans="2:14" ht="23.25" customHeight="1" x14ac:dyDescent="0.2">
      <c r="B6" s="368" t="s">
        <v>54</v>
      </c>
      <c r="C6" s="369"/>
      <c r="D6" s="369"/>
      <c r="E6" s="369"/>
      <c r="F6" s="369"/>
      <c r="G6" s="369"/>
      <c r="H6" s="369"/>
      <c r="I6" s="370"/>
      <c r="J6" s="15"/>
      <c r="K6" s="15"/>
    </row>
    <row r="7" spans="2:14" ht="24" customHeight="1" x14ac:dyDescent="0.2">
      <c r="B7" s="371" t="s">
        <v>55</v>
      </c>
      <c r="C7" s="372"/>
      <c r="D7" s="372"/>
      <c r="E7" s="372"/>
      <c r="F7" s="372"/>
      <c r="G7" s="372"/>
      <c r="H7" s="372"/>
      <c r="I7" s="373"/>
      <c r="J7" s="16"/>
      <c r="K7" s="16"/>
    </row>
    <row r="8" spans="2:14" ht="24" customHeight="1" x14ac:dyDescent="0.2">
      <c r="B8" s="374" t="s">
        <v>56</v>
      </c>
      <c r="C8" s="375"/>
      <c r="D8" s="375"/>
      <c r="E8" s="375"/>
      <c r="F8" s="375"/>
      <c r="G8" s="375"/>
      <c r="H8" s="375"/>
      <c r="I8" s="376"/>
      <c r="J8" s="58"/>
      <c r="K8" s="58"/>
      <c r="N8" s="6" t="s">
        <v>57</v>
      </c>
    </row>
    <row r="9" spans="2:14" ht="30.75" customHeight="1" x14ac:dyDescent="0.2">
      <c r="B9" s="98" t="s">
        <v>58</v>
      </c>
      <c r="C9" s="59">
        <v>14</v>
      </c>
      <c r="D9" s="382" t="s">
        <v>59</v>
      </c>
      <c r="E9" s="382"/>
      <c r="F9" s="383" t="s">
        <v>207</v>
      </c>
      <c r="G9" s="384"/>
      <c r="H9" s="384"/>
      <c r="I9" s="385"/>
      <c r="J9" s="17"/>
      <c r="K9" s="17"/>
      <c r="M9" s="14" t="s">
        <v>60</v>
      </c>
      <c r="N9" s="6" t="s">
        <v>61</v>
      </c>
    </row>
    <row r="10" spans="2:14" ht="30.75" customHeight="1" x14ac:dyDescent="0.2">
      <c r="B10" s="20" t="s">
        <v>62</v>
      </c>
      <c r="C10" s="60" t="s">
        <v>81</v>
      </c>
      <c r="D10" s="386" t="s">
        <v>63</v>
      </c>
      <c r="E10" s="387"/>
      <c r="F10" s="377" t="s">
        <v>155</v>
      </c>
      <c r="G10" s="378"/>
      <c r="H10" s="18" t="s">
        <v>64</v>
      </c>
      <c r="I10" s="76" t="s">
        <v>81</v>
      </c>
      <c r="J10" s="19"/>
      <c r="K10" s="19"/>
      <c r="M10" s="14" t="s">
        <v>65</v>
      </c>
      <c r="N10" s="6" t="s">
        <v>66</v>
      </c>
    </row>
    <row r="11" spans="2:14" ht="30.75" customHeight="1" x14ac:dyDescent="0.2">
      <c r="B11" s="20" t="s">
        <v>67</v>
      </c>
      <c r="C11" s="379" t="s">
        <v>156</v>
      </c>
      <c r="D11" s="379"/>
      <c r="E11" s="379"/>
      <c r="F11" s="379"/>
      <c r="G11" s="18" t="s">
        <v>68</v>
      </c>
      <c r="H11" s="380">
        <v>1032</v>
      </c>
      <c r="I11" s="381"/>
      <c r="J11" s="21"/>
      <c r="K11" s="21"/>
      <c r="M11" s="14" t="s">
        <v>69</v>
      </c>
      <c r="N11" s="6" t="s">
        <v>70</v>
      </c>
    </row>
    <row r="12" spans="2:14" ht="30.75" customHeight="1" x14ac:dyDescent="0.2">
      <c r="B12" s="20" t="s">
        <v>71</v>
      </c>
      <c r="C12" s="388" t="s">
        <v>65</v>
      </c>
      <c r="D12" s="388"/>
      <c r="E12" s="388"/>
      <c r="F12" s="388"/>
      <c r="G12" s="18" t="s">
        <v>72</v>
      </c>
      <c r="H12" s="748" t="s">
        <v>165</v>
      </c>
      <c r="I12" s="749"/>
      <c r="J12" s="22"/>
      <c r="K12" s="22"/>
      <c r="M12" s="23" t="s">
        <v>73</v>
      </c>
    </row>
    <row r="13" spans="2:14" ht="30.75" customHeight="1" x14ac:dyDescent="0.2">
      <c r="B13" s="20" t="s">
        <v>74</v>
      </c>
      <c r="C13" s="391" t="s">
        <v>45</v>
      </c>
      <c r="D13" s="391"/>
      <c r="E13" s="391"/>
      <c r="F13" s="391"/>
      <c r="G13" s="391"/>
      <c r="H13" s="391"/>
      <c r="I13" s="392"/>
      <c r="J13" s="24"/>
      <c r="K13" s="24"/>
      <c r="M13" s="23"/>
    </row>
    <row r="14" spans="2:14" ht="30.75" customHeight="1" x14ac:dyDescent="0.2">
      <c r="B14" s="20" t="s">
        <v>75</v>
      </c>
      <c r="C14" s="377" t="s">
        <v>153</v>
      </c>
      <c r="D14" s="378"/>
      <c r="E14" s="378"/>
      <c r="F14" s="378"/>
      <c r="G14" s="378"/>
      <c r="H14" s="378"/>
      <c r="I14" s="393"/>
      <c r="J14" s="19"/>
      <c r="K14" s="19"/>
      <c r="M14" s="23"/>
      <c r="N14" s="6" t="s">
        <v>76</v>
      </c>
    </row>
    <row r="15" spans="2:14" ht="30.75" customHeight="1" x14ac:dyDescent="0.2">
      <c r="B15" s="20" t="s">
        <v>77</v>
      </c>
      <c r="C15" s="383" t="s">
        <v>166</v>
      </c>
      <c r="D15" s="384"/>
      <c r="E15" s="384"/>
      <c r="F15" s="730"/>
      <c r="G15" s="18" t="s">
        <v>78</v>
      </c>
      <c r="H15" s="395" t="s">
        <v>91</v>
      </c>
      <c r="I15" s="396"/>
      <c r="J15" s="19"/>
      <c r="K15" s="19"/>
      <c r="M15" s="23" t="s">
        <v>80</v>
      </c>
      <c r="N15" s="6" t="s">
        <v>81</v>
      </c>
    </row>
    <row r="16" spans="2:14" ht="30.75" customHeight="1" x14ac:dyDescent="0.2">
      <c r="B16" s="20" t="s">
        <v>82</v>
      </c>
      <c r="C16" s="397" t="s">
        <v>215</v>
      </c>
      <c r="D16" s="398"/>
      <c r="E16" s="398"/>
      <c r="F16" s="398"/>
      <c r="G16" s="18" t="s">
        <v>83</v>
      </c>
      <c r="H16" s="395" t="s">
        <v>70</v>
      </c>
      <c r="I16" s="396"/>
      <c r="J16" s="19"/>
      <c r="K16" s="19"/>
      <c r="M16" s="23" t="s">
        <v>84</v>
      </c>
    </row>
    <row r="17" spans="2:14" ht="36" customHeight="1" x14ac:dyDescent="0.2">
      <c r="B17" s="20" t="s">
        <v>85</v>
      </c>
      <c r="C17" s="741" t="s">
        <v>167</v>
      </c>
      <c r="D17" s="742"/>
      <c r="E17" s="742"/>
      <c r="F17" s="742"/>
      <c r="G17" s="742"/>
      <c r="H17" s="742"/>
      <c r="I17" s="743"/>
      <c r="J17" s="24"/>
      <c r="K17" s="24"/>
      <c r="M17" s="23" t="s">
        <v>86</v>
      </c>
      <c r="N17" s="6" t="s">
        <v>39</v>
      </c>
    </row>
    <row r="18" spans="2:14" ht="30.75" customHeight="1" x14ac:dyDescent="0.2">
      <c r="B18" s="20" t="s">
        <v>87</v>
      </c>
      <c r="C18" s="383" t="s">
        <v>168</v>
      </c>
      <c r="D18" s="384"/>
      <c r="E18" s="384"/>
      <c r="F18" s="384"/>
      <c r="G18" s="384"/>
      <c r="H18" s="384"/>
      <c r="I18" s="385"/>
      <c r="J18" s="25"/>
      <c r="K18" s="25"/>
      <c r="M18" s="23" t="s">
        <v>88</v>
      </c>
      <c r="N18" s="6" t="s">
        <v>40</v>
      </c>
    </row>
    <row r="19" spans="2:14" ht="30.75" customHeight="1" x14ac:dyDescent="0.2">
      <c r="B19" s="20" t="s">
        <v>89</v>
      </c>
      <c r="C19" s="738" t="s">
        <v>200</v>
      </c>
      <c r="D19" s="739"/>
      <c r="E19" s="739"/>
      <c r="F19" s="739"/>
      <c r="G19" s="739"/>
      <c r="H19" s="739"/>
      <c r="I19" s="740"/>
      <c r="J19" s="26"/>
      <c r="K19" s="26"/>
      <c r="M19" s="23"/>
      <c r="N19" s="6" t="s">
        <v>41</v>
      </c>
    </row>
    <row r="20" spans="2:14" ht="30.75" customHeight="1" x14ac:dyDescent="0.2">
      <c r="B20" s="20" t="s">
        <v>90</v>
      </c>
      <c r="C20" s="744" t="s">
        <v>152</v>
      </c>
      <c r="D20" s="745"/>
      <c r="E20" s="745"/>
      <c r="F20" s="745"/>
      <c r="G20" s="745"/>
      <c r="H20" s="745"/>
      <c r="I20" s="746"/>
      <c r="J20" s="27"/>
      <c r="K20" s="27"/>
      <c r="M20" s="23" t="s">
        <v>91</v>
      </c>
      <c r="N20" s="6" t="s">
        <v>42</v>
      </c>
    </row>
    <row r="21" spans="2:14" ht="27.75" customHeight="1" x14ac:dyDescent="0.2">
      <c r="B21" s="402" t="s">
        <v>92</v>
      </c>
      <c r="C21" s="404" t="s">
        <v>93</v>
      </c>
      <c r="D21" s="404"/>
      <c r="E21" s="404"/>
      <c r="F21" s="405" t="s">
        <v>94</v>
      </c>
      <c r="G21" s="405"/>
      <c r="H21" s="405"/>
      <c r="I21" s="406"/>
      <c r="J21" s="28"/>
      <c r="K21" s="28"/>
      <c r="M21" s="23" t="s">
        <v>79</v>
      </c>
      <c r="N21" s="6" t="s">
        <v>43</v>
      </c>
    </row>
    <row r="22" spans="2:14" ht="27" customHeight="1" x14ac:dyDescent="0.2">
      <c r="B22" s="403"/>
      <c r="C22" s="738" t="s">
        <v>169</v>
      </c>
      <c r="D22" s="739"/>
      <c r="E22" s="747"/>
      <c r="F22" s="738" t="s">
        <v>171</v>
      </c>
      <c r="G22" s="739"/>
      <c r="H22" s="739"/>
      <c r="I22" s="740"/>
      <c r="J22" s="26"/>
      <c r="K22" s="26"/>
      <c r="M22" s="23" t="s">
        <v>95</v>
      </c>
      <c r="N22" s="6" t="s">
        <v>44</v>
      </c>
    </row>
    <row r="23" spans="2:14" ht="39.75" customHeight="1" x14ac:dyDescent="0.2">
      <c r="B23" s="20" t="s">
        <v>96</v>
      </c>
      <c r="C23" s="377" t="s">
        <v>152</v>
      </c>
      <c r="D23" s="378"/>
      <c r="E23" s="734"/>
      <c r="F23" s="377" t="s">
        <v>152</v>
      </c>
      <c r="G23" s="378"/>
      <c r="H23" s="378"/>
      <c r="I23" s="393"/>
      <c r="J23" s="19"/>
      <c r="K23" s="19"/>
      <c r="M23" s="23"/>
      <c r="N23" s="6" t="s">
        <v>45</v>
      </c>
    </row>
    <row r="24" spans="2:14" ht="44.25" customHeight="1" x14ac:dyDescent="0.2">
      <c r="B24" s="20" t="s">
        <v>97</v>
      </c>
      <c r="C24" s="735" t="s">
        <v>170</v>
      </c>
      <c r="D24" s="736"/>
      <c r="E24" s="737"/>
      <c r="F24" s="738" t="s">
        <v>172</v>
      </c>
      <c r="G24" s="739"/>
      <c r="H24" s="739"/>
      <c r="I24" s="740"/>
      <c r="J24" s="25"/>
      <c r="K24" s="25"/>
      <c r="M24" s="29"/>
      <c r="N24" s="6" t="s">
        <v>46</v>
      </c>
    </row>
    <row r="25" spans="2:14" ht="29.25" customHeight="1" x14ac:dyDescent="0.2">
      <c r="B25" s="20" t="s">
        <v>98</v>
      </c>
      <c r="C25" s="419" t="s">
        <v>215</v>
      </c>
      <c r="D25" s="420"/>
      <c r="E25" s="421"/>
      <c r="F25" s="18" t="s">
        <v>99</v>
      </c>
      <c r="G25" s="731">
        <v>74</v>
      </c>
      <c r="H25" s="732"/>
      <c r="I25" s="733"/>
      <c r="J25" s="30"/>
      <c r="K25" s="30"/>
      <c r="M25" s="29"/>
    </row>
    <row r="26" spans="2:14" ht="27" customHeight="1" x14ac:dyDescent="0.2">
      <c r="B26" s="20" t="s">
        <v>100</v>
      </c>
      <c r="C26" s="383" t="s">
        <v>216</v>
      </c>
      <c r="D26" s="384"/>
      <c r="E26" s="730"/>
      <c r="F26" s="18" t="s">
        <v>101</v>
      </c>
      <c r="G26" s="731">
        <v>0</v>
      </c>
      <c r="H26" s="732"/>
      <c r="I26" s="733"/>
      <c r="J26" s="31"/>
      <c r="K26" s="31"/>
      <c r="M26" s="29"/>
    </row>
    <row r="27" spans="2:14" ht="47.25" customHeight="1" x14ac:dyDescent="0.2">
      <c r="B27" s="97" t="s">
        <v>102</v>
      </c>
      <c r="C27" s="377" t="s">
        <v>86</v>
      </c>
      <c r="D27" s="378"/>
      <c r="E27" s="734"/>
      <c r="F27" s="32" t="s">
        <v>103</v>
      </c>
      <c r="G27" s="426" t="s">
        <v>182</v>
      </c>
      <c r="H27" s="427"/>
      <c r="I27" s="428"/>
      <c r="J27" s="28"/>
      <c r="K27" s="28"/>
      <c r="M27" s="29"/>
    </row>
    <row r="28" spans="2:14" ht="30" customHeight="1" x14ac:dyDescent="0.2">
      <c r="B28" s="432" t="s">
        <v>104</v>
      </c>
      <c r="C28" s="433"/>
      <c r="D28" s="433"/>
      <c r="E28" s="433"/>
      <c r="F28" s="433"/>
      <c r="G28" s="433"/>
      <c r="H28" s="433"/>
      <c r="I28" s="43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437"/>
      <c r="D42" s="437"/>
      <c r="E42" s="437"/>
      <c r="F42" s="437"/>
      <c r="G42" s="437"/>
      <c r="H42" s="437"/>
      <c r="I42" s="438"/>
      <c r="J42" s="39"/>
      <c r="K42" s="39"/>
    </row>
    <row r="43" spans="2:11" ht="29.25" customHeight="1" x14ac:dyDescent="0.2">
      <c r="B43" s="432" t="s">
        <v>126</v>
      </c>
      <c r="C43" s="433"/>
      <c r="D43" s="433"/>
      <c r="E43" s="433"/>
      <c r="F43" s="433"/>
      <c r="G43" s="433"/>
      <c r="H43" s="433"/>
      <c r="I43" s="434"/>
      <c r="J43" s="58"/>
      <c r="K43" s="58"/>
    </row>
    <row r="44" spans="2:11" ht="32.25" customHeight="1" x14ac:dyDescent="0.2">
      <c r="B44" s="407"/>
      <c r="C44" s="408"/>
      <c r="D44" s="408"/>
      <c r="E44" s="408"/>
      <c r="F44" s="408"/>
      <c r="G44" s="408"/>
      <c r="H44" s="408"/>
      <c r="I44" s="409"/>
      <c r="J44" s="58"/>
      <c r="K44" s="58"/>
    </row>
    <row r="45" spans="2:11" ht="32.25" customHeight="1" x14ac:dyDescent="0.2">
      <c r="B45" s="410"/>
      <c r="C45" s="411"/>
      <c r="D45" s="411"/>
      <c r="E45" s="411"/>
      <c r="F45" s="411"/>
      <c r="G45" s="411"/>
      <c r="H45" s="411"/>
      <c r="I45" s="412"/>
      <c r="J45" s="39"/>
      <c r="K45" s="39"/>
    </row>
    <row r="46" spans="2:11" ht="32.25" customHeight="1" x14ac:dyDescent="0.2">
      <c r="B46" s="410"/>
      <c r="C46" s="411"/>
      <c r="D46" s="411"/>
      <c r="E46" s="411"/>
      <c r="F46" s="411"/>
      <c r="G46" s="411"/>
      <c r="H46" s="411"/>
      <c r="I46" s="412"/>
      <c r="J46" s="39"/>
      <c r="K46" s="39"/>
    </row>
    <row r="47" spans="2:11" ht="32.25" customHeight="1" x14ac:dyDescent="0.2">
      <c r="B47" s="410"/>
      <c r="C47" s="411"/>
      <c r="D47" s="411"/>
      <c r="E47" s="411"/>
      <c r="F47" s="411"/>
      <c r="G47" s="411"/>
      <c r="H47" s="411"/>
      <c r="I47" s="412"/>
      <c r="J47" s="39"/>
      <c r="K47" s="39"/>
    </row>
    <row r="48" spans="2:11" ht="32.25" customHeight="1" x14ac:dyDescent="0.2">
      <c r="B48" s="413"/>
      <c r="C48" s="414"/>
      <c r="D48" s="414"/>
      <c r="E48" s="414"/>
      <c r="F48" s="414"/>
      <c r="G48" s="414"/>
      <c r="H48" s="414"/>
      <c r="I48" s="415"/>
      <c r="J48" s="40"/>
      <c r="K48" s="40"/>
    </row>
    <row r="49" spans="2:11" ht="79.5" customHeight="1" x14ac:dyDescent="0.2">
      <c r="B49" s="20" t="s">
        <v>127</v>
      </c>
      <c r="C49" s="724"/>
      <c r="D49" s="725"/>
      <c r="E49" s="725"/>
      <c r="F49" s="725"/>
      <c r="G49" s="725"/>
      <c r="H49" s="725"/>
      <c r="I49" s="726"/>
      <c r="J49" s="41"/>
      <c r="K49" s="41"/>
    </row>
    <row r="50" spans="2:11" ht="26.25" customHeight="1" x14ac:dyDescent="0.2">
      <c r="B50" s="20" t="s">
        <v>128</v>
      </c>
      <c r="C50" s="727"/>
      <c r="D50" s="728"/>
      <c r="E50" s="728"/>
      <c r="F50" s="728"/>
      <c r="G50" s="728"/>
      <c r="H50" s="728"/>
      <c r="I50" s="729"/>
      <c r="J50" s="41"/>
      <c r="K50" s="41"/>
    </row>
    <row r="51" spans="2:11" ht="64.5" customHeight="1" x14ac:dyDescent="0.2">
      <c r="B51" s="127" t="s">
        <v>129</v>
      </c>
      <c r="C51" s="724"/>
      <c r="D51" s="725"/>
      <c r="E51" s="725"/>
      <c r="F51" s="725"/>
      <c r="G51" s="725"/>
      <c r="H51" s="725"/>
      <c r="I51" s="726"/>
      <c r="J51" s="41"/>
      <c r="K51" s="41"/>
    </row>
    <row r="52" spans="2:11" ht="29.25" customHeight="1" x14ac:dyDescent="0.2">
      <c r="B52" s="432" t="s">
        <v>130</v>
      </c>
      <c r="C52" s="433"/>
      <c r="D52" s="433"/>
      <c r="E52" s="433"/>
      <c r="F52" s="433"/>
      <c r="G52" s="433"/>
      <c r="H52" s="433"/>
      <c r="I52" s="434"/>
      <c r="J52" s="41"/>
      <c r="K52" s="41"/>
    </row>
    <row r="53" spans="2:11" ht="33" customHeight="1" x14ac:dyDescent="0.2">
      <c r="B53" s="442" t="s">
        <v>131</v>
      </c>
      <c r="C53" s="128" t="s">
        <v>132</v>
      </c>
      <c r="D53" s="443" t="s">
        <v>133</v>
      </c>
      <c r="E53" s="443"/>
      <c r="F53" s="443"/>
      <c r="G53" s="443" t="s">
        <v>134</v>
      </c>
      <c r="H53" s="443"/>
      <c r="I53" s="444"/>
      <c r="J53" s="42"/>
      <c r="K53" s="42"/>
    </row>
    <row r="54" spans="2:11" ht="31.5" customHeight="1" x14ac:dyDescent="0.2">
      <c r="B54" s="442"/>
      <c r="C54" s="107"/>
      <c r="D54" s="437"/>
      <c r="E54" s="437"/>
      <c r="F54" s="437"/>
      <c r="G54" s="445"/>
      <c r="H54" s="445"/>
      <c r="I54" s="446"/>
      <c r="J54" s="42"/>
      <c r="K54" s="42"/>
    </row>
    <row r="55" spans="2:11" ht="31.5" customHeight="1" x14ac:dyDescent="0.2">
      <c r="B55" s="127" t="s">
        <v>135</v>
      </c>
      <c r="C55" s="722" t="s">
        <v>173</v>
      </c>
      <c r="D55" s="723"/>
      <c r="E55" s="459" t="s">
        <v>136</v>
      </c>
      <c r="F55" s="459"/>
      <c r="G55" s="458" t="s">
        <v>158</v>
      </c>
      <c r="H55" s="458"/>
      <c r="I55" s="460"/>
      <c r="J55" s="44"/>
      <c r="K55" s="44"/>
    </row>
    <row r="56" spans="2:11" ht="31.5" customHeight="1" x14ac:dyDescent="0.2">
      <c r="B56" s="127" t="s">
        <v>137</v>
      </c>
      <c r="C56" s="437" t="str">
        <f>+'[3]HV 1'!C56:D56</f>
        <v>NICOLAS ADOLFO CORREAL HUERTAS</v>
      </c>
      <c r="D56" s="437"/>
      <c r="E56" s="461" t="s">
        <v>138</v>
      </c>
      <c r="F56" s="461"/>
      <c r="G56" s="458" t="str">
        <f>+'[9]HV 1'!G59:I59</f>
        <v>DIANA VIDAL</v>
      </c>
      <c r="H56" s="458"/>
      <c r="I56" s="460"/>
      <c r="J56" s="44"/>
      <c r="K56" s="44"/>
    </row>
    <row r="57" spans="2:11" ht="31.5" customHeight="1" x14ac:dyDescent="0.2">
      <c r="B57" s="127" t="s">
        <v>139</v>
      </c>
      <c r="C57" s="437"/>
      <c r="D57" s="437"/>
      <c r="E57" s="447" t="s">
        <v>140</v>
      </c>
      <c r="F57" s="448"/>
      <c r="G57" s="451"/>
      <c r="H57" s="452"/>
      <c r="I57" s="453"/>
      <c r="J57" s="45"/>
      <c r="K57" s="45"/>
    </row>
    <row r="58" spans="2:11" ht="31.5" customHeight="1" thickBot="1" x14ac:dyDescent="0.25">
      <c r="B58" s="78" t="s">
        <v>141</v>
      </c>
      <c r="C58" s="457"/>
      <c r="D58" s="457"/>
      <c r="E58" s="449"/>
      <c r="F58" s="450"/>
      <c r="G58" s="454"/>
      <c r="H58" s="455"/>
      <c r="I58" s="456"/>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66"/>
      <c r="C1" s="469" t="s">
        <v>24</v>
      </c>
      <c r="D1" s="470"/>
      <c r="E1" s="470"/>
      <c r="F1" s="470"/>
      <c r="G1" s="470"/>
      <c r="H1" s="471"/>
      <c r="I1" s="472"/>
      <c r="J1" s="473"/>
    </row>
    <row r="2" spans="2:11" ht="18" customHeight="1" thickBot="1" x14ac:dyDescent="0.3">
      <c r="B2" s="467"/>
      <c r="C2" s="478" t="s">
        <v>25</v>
      </c>
      <c r="D2" s="479"/>
      <c r="E2" s="479"/>
      <c r="F2" s="479"/>
      <c r="G2" s="479"/>
      <c r="H2" s="480"/>
      <c r="I2" s="474"/>
      <c r="J2" s="475"/>
    </row>
    <row r="3" spans="2:11" ht="18" customHeight="1" thickBot="1" x14ac:dyDescent="0.3">
      <c r="B3" s="467"/>
      <c r="C3" s="478" t="s">
        <v>183</v>
      </c>
      <c r="D3" s="479"/>
      <c r="E3" s="479"/>
      <c r="F3" s="479"/>
      <c r="G3" s="479"/>
      <c r="H3" s="480"/>
      <c r="I3" s="474"/>
      <c r="J3" s="475"/>
    </row>
    <row r="4" spans="2:11" ht="18" customHeight="1" thickBot="1" x14ac:dyDescent="0.3">
      <c r="B4" s="468"/>
      <c r="C4" s="478" t="s">
        <v>143</v>
      </c>
      <c r="D4" s="479"/>
      <c r="E4" s="479"/>
      <c r="F4" s="480"/>
      <c r="G4" s="481" t="s">
        <v>190</v>
      </c>
      <c r="H4" s="482"/>
      <c r="I4" s="476"/>
      <c r="J4" s="477"/>
    </row>
    <row r="5" spans="2:11" ht="18" customHeight="1" thickBot="1" x14ac:dyDescent="0.3">
      <c r="B5" s="51"/>
      <c r="C5" s="52"/>
      <c r="D5" s="52"/>
      <c r="E5" s="52"/>
      <c r="F5" s="52"/>
      <c r="G5" s="52"/>
      <c r="H5" s="52"/>
      <c r="I5" s="52"/>
      <c r="J5" s="53"/>
    </row>
    <row r="6" spans="2:11" ht="51.75" customHeight="1" thickBot="1" x14ac:dyDescent="0.3">
      <c r="B6" s="1" t="s">
        <v>199</v>
      </c>
      <c r="C6" s="485" t="str">
        <f>+'[6]Sección 1. Metas - Magnitud'!C7</f>
        <v>1032 - Gestión y control de tránsito y transporte</v>
      </c>
      <c r="D6" s="486"/>
      <c r="E6" s="487"/>
      <c r="F6" s="54"/>
      <c r="G6" s="52"/>
      <c r="H6" s="52"/>
      <c r="I6" s="52"/>
      <c r="J6" s="53"/>
    </row>
    <row r="7" spans="2:11" ht="32.25" customHeight="1" thickBot="1" x14ac:dyDescent="0.3">
      <c r="B7" s="2" t="s">
        <v>0</v>
      </c>
      <c r="C7" s="485" t="str">
        <f>+'[6]Sección 1. Metas - Magnitud'!C8:F8</f>
        <v>Dirección de Control y Vigilancia</v>
      </c>
      <c r="D7" s="486"/>
      <c r="E7" s="487"/>
      <c r="F7" s="54"/>
      <c r="G7" s="52"/>
      <c r="H7" s="52"/>
      <c r="I7" s="52"/>
      <c r="J7" s="53"/>
    </row>
    <row r="8" spans="2:11" ht="32.25" customHeight="1" thickBot="1" x14ac:dyDescent="0.3">
      <c r="B8" s="2" t="s">
        <v>144</v>
      </c>
      <c r="C8" s="485" t="str">
        <f>+'[6]Sección 1. Metas - Magnitud'!C9:F9</f>
        <v>Subsecretaría de Servicios de la Movilidad</v>
      </c>
      <c r="D8" s="486"/>
      <c r="E8" s="487"/>
      <c r="F8" s="4"/>
      <c r="G8" s="52"/>
      <c r="H8" s="52"/>
      <c r="I8" s="52"/>
      <c r="J8" s="53"/>
    </row>
    <row r="9" spans="2:11" ht="33.75" customHeight="1" thickBot="1" x14ac:dyDescent="0.3">
      <c r="B9" s="2" t="s">
        <v>28</v>
      </c>
      <c r="C9" s="485" t="s">
        <v>184</v>
      </c>
      <c r="D9" s="486"/>
      <c r="E9" s="487"/>
      <c r="F9" s="54"/>
      <c r="G9" s="52"/>
      <c r="H9" s="52"/>
      <c r="I9" s="52"/>
      <c r="J9" s="53"/>
    </row>
    <row r="10" spans="2:11" ht="33.75" customHeight="1" thickBot="1" x14ac:dyDescent="0.3">
      <c r="B10" s="100" t="s">
        <v>197</v>
      </c>
      <c r="C10" s="485" t="str">
        <f>+'[9]HV 14'!F9</f>
        <v>14. Realizar 241 visitas administrativas y de seguimiento a empresas prestadoras del servicio público de transporte.</v>
      </c>
      <c r="D10" s="486"/>
      <c r="E10" s="487"/>
      <c r="F10" s="54"/>
      <c r="G10" s="52"/>
      <c r="H10" s="52"/>
      <c r="I10" s="52"/>
      <c r="J10" s="53"/>
    </row>
    <row r="11" spans="2:11" ht="34.5" customHeight="1" x14ac:dyDescent="0.25"/>
    <row r="12" spans="2:11" ht="21.75" customHeight="1" x14ac:dyDescent="0.25">
      <c r="B12" s="495" t="s">
        <v>218</v>
      </c>
      <c r="C12" s="496"/>
      <c r="D12" s="496"/>
      <c r="E12" s="496"/>
      <c r="F12" s="496"/>
      <c r="G12" s="496"/>
      <c r="H12" s="497"/>
      <c r="I12" s="756" t="s">
        <v>145</v>
      </c>
      <c r="J12" s="757"/>
      <c r="K12" s="757"/>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754"/>
    </row>
    <row r="16" spans="2:11" x14ac:dyDescent="0.25">
      <c r="B16" s="148"/>
      <c r="C16" s="149"/>
      <c r="D16" s="150"/>
      <c r="E16" s="151"/>
      <c r="F16" s="149"/>
      <c r="G16" s="150"/>
      <c r="H16" s="152"/>
      <c r="I16" s="153"/>
      <c r="J16" s="154"/>
      <c r="K16" s="755"/>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750" t="s">
        <v>17</v>
      </c>
      <c r="C19" s="751"/>
      <c r="D19" s="163">
        <f>SUM(D15:D16)</f>
        <v>0</v>
      </c>
      <c r="E19" s="752" t="s">
        <v>17</v>
      </c>
      <c r="F19" s="753"/>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ANDRES</cp:lastModifiedBy>
  <cp:lastPrinted>2018-04-10T15:28:46Z</cp:lastPrinted>
  <dcterms:created xsi:type="dcterms:W3CDTF">2010-03-25T16:40:43Z</dcterms:created>
  <dcterms:modified xsi:type="dcterms:W3CDTF">2021-03-09T21:19:50Z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