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fhenr\OneDrive\Documentos\IDPYBA 2021\PLAN DE ACCION\PROYECTO 7550\OCTUBRE\"/>
    </mc:Choice>
  </mc:AlternateContent>
  <xr:revisionPtr revIDLastSave="0" documentId="13_ncr:1_{15F650DF-C07F-4029-BD7D-B424F2F4A6DE}" xr6:coauthVersionLast="47" xr6:coauthVersionMax="47" xr10:uidLastSave="{00000000-0000-0000-0000-000000000000}"/>
  <bookViews>
    <workbookView xWindow="-120" yWindow="-120" windowWidth="20730" windowHeight="11160" tabRatio="743" firstSheet="3" activeTab="3"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2'!$A$1:$I$56</definedName>
    <definedName name="_xlnm.Print_Area" localSheetId="5">'META 3'!$A$1:$I$54</definedName>
    <definedName name="_xlnm.Print_Area" localSheetId="6">'META 4'!$A$1:$I$54</definedName>
    <definedName name="_xlnm.Print_Area" localSheetId="7">'META 5'!$A$1:$I$54</definedName>
    <definedName name="_xlnm.Print_Area" localSheetId="8">'META 6'!$A$1:$I$59</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6" i="92" l="1"/>
  <c r="C38" i="91"/>
  <c r="C37" i="91"/>
  <c r="C35" i="91"/>
  <c r="D36" i="91"/>
  <c r="C36" i="91"/>
  <c r="D35" i="91"/>
  <c r="D36" i="90"/>
  <c r="D36" i="95"/>
  <c r="D36" i="93"/>
  <c r="D36" i="87"/>
  <c r="D36" i="80"/>
  <c r="E35" i="91"/>
  <c r="E36" i="91"/>
  <c r="E37" i="91"/>
  <c r="E38" i="91"/>
  <c r="E34" i="91"/>
  <c r="D34" i="91"/>
  <c r="C34" i="91"/>
  <c r="C33" i="91"/>
  <c r="D31" i="91"/>
  <c r="D29" i="91"/>
  <c r="D33" i="91"/>
  <c r="D32" i="91"/>
  <c r="C32" i="91"/>
  <c r="C31" i="91"/>
  <c r="D30" i="91"/>
  <c r="C30" i="91"/>
  <c r="E30" i="91"/>
  <c r="C29" i="91"/>
  <c r="D28" i="91"/>
  <c r="C28" i="91"/>
  <c r="D27" i="91"/>
  <c r="C27" i="91"/>
  <c r="D32" i="95"/>
  <c r="C36" i="93"/>
  <c r="C35" i="93"/>
  <c r="D30" i="80"/>
  <c r="D29" i="80"/>
  <c r="D35" i="87"/>
  <c r="D35" i="93"/>
  <c r="D35" i="90"/>
  <c r="F27" i="80"/>
  <c r="D34" i="87"/>
  <c r="D34" i="92"/>
  <c r="C38" i="80"/>
  <c r="C37" i="80"/>
  <c r="C36" i="80"/>
  <c r="C30" i="80"/>
  <c r="C29" i="80"/>
  <c r="C28" i="80"/>
  <c r="D34" i="95"/>
  <c r="E38" i="93"/>
  <c r="C38" i="93"/>
  <c r="C37" i="93"/>
  <c r="E37" i="93"/>
  <c r="E36" i="93"/>
  <c r="E35" i="93"/>
  <c r="C34" i="93"/>
  <c r="D34" i="93"/>
  <c r="E34" i="93"/>
  <c r="D33" i="93"/>
  <c r="E33" i="93"/>
  <c r="C33" i="93"/>
  <c r="D32" i="93"/>
  <c r="E32" i="93"/>
  <c r="C32" i="93"/>
  <c r="D31" i="93"/>
  <c r="E31" i="93"/>
  <c r="C31" i="93"/>
  <c r="D30" i="93"/>
  <c r="E30" i="93"/>
  <c r="C30" i="93"/>
  <c r="D29" i="93"/>
  <c r="E29" i="93"/>
  <c r="C29" i="93"/>
  <c r="D28" i="93"/>
  <c r="E28" i="93"/>
  <c r="C28" i="93"/>
  <c r="D27" i="93"/>
  <c r="E27" i="93"/>
  <c r="C27" i="93"/>
  <c r="D34" i="90"/>
  <c r="D33" i="90"/>
  <c r="D33" i="87"/>
  <c r="E38" i="95"/>
  <c r="E37" i="95"/>
  <c r="E36" i="95"/>
  <c r="E35" i="95"/>
  <c r="E34" i="95"/>
  <c r="E33" i="95"/>
  <c r="E32" i="95"/>
  <c r="D32" i="92"/>
  <c r="D31" i="92"/>
  <c r="D30" i="92"/>
  <c r="D29" i="92"/>
  <c r="D28" i="92"/>
  <c r="D27" i="92"/>
  <c r="C38" i="92"/>
  <c r="C37" i="92"/>
  <c r="C36" i="92"/>
  <c r="C35" i="92"/>
  <c r="C34" i="92"/>
  <c r="C33" i="92"/>
  <c r="C32" i="92"/>
  <c r="C31" i="92"/>
  <c r="C30" i="92"/>
  <c r="C29" i="92"/>
  <c r="C28" i="92"/>
  <c r="C27" i="92"/>
  <c r="D32" i="90"/>
  <c r="C27" i="95"/>
  <c r="C38" i="95"/>
  <c r="C37" i="95"/>
  <c r="C36" i="95"/>
  <c r="C35" i="95"/>
  <c r="C34" i="95"/>
  <c r="C33" i="95"/>
  <c r="C32" i="95"/>
  <c r="C31" i="95"/>
  <c r="C30" i="95"/>
  <c r="C29" i="95"/>
  <c r="C28" i="95"/>
  <c r="D31" i="95"/>
  <c r="E31" i="95"/>
  <c r="E28" i="95"/>
  <c r="E29" i="95"/>
  <c r="E30" i="95"/>
  <c r="E27" i="95"/>
  <c r="D30" i="95"/>
  <c r="D29" i="95"/>
  <c r="D28" i="95"/>
  <c r="D27" i="95"/>
  <c r="D27" i="87"/>
  <c r="F27" i="93"/>
  <c r="D28" i="80"/>
  <c r="D27" i="80"/>
  <c r="C27" i="80"/>
  <c r="G27" i="80"/>
  <c r="D32" i="87"/>
  <c r="D31" i="87"/>
  <c r="D31" i="90"/>
  <c r="E32" i="91"/>
  <c r="E31" i="91"/>
  <c r="E29" i="91"/>
  <c r="E28" i="91"/>
  <c r="E27" i="91"/>
  <c r="D30" i="87"/>
  <c r="D29" i="87"/>
  <c r="D30" i="90"/>
  <c r="D29" i="90"/>
  <c r="H38" i="95"/>
  <c r="H37" i="95"/>
  <c r="H36" i="95"/>
  <c r="H34" i="95"/>
  <c r="H35" i="95"/>
  <c r="H27" i="95"/>
  <c r="H28" i="95"/>
  <c r="H29" i="95"/>
  <c r="H30" i="95"/>
  <c r="H31" i="95"/>
  <c r="H32" i="95"/>
  <c r="H33" i="95"/>
  <c r="F27" i="95"/>
  <c r="D28" i="87"/>
  <c r="C35" i="90"/>
  <c r="C36" i="90"/>
  <c r="C37" i="90"/>
  <c r="C38" i="90"/>
  <c r="C34" i="90"/>
  <c r="C33" i="90"/>
  <c r="C32" i="90"/>
  <c r="C31" i="90"/>
  <c r="C30" i="90"/>
  <c r="C29" i="90"/>
  <c r="C28" i="90"/>
  <c r="C27" i="90"/>
  <c r="H35" i="92"/>
  <c r="H36" i="92"/>
  <c r="H37" i="92"/>
  <c r="H38" i="92"/>
  <c r="E38" i="92"/>
  <c r="E37" i="92"/>
  <c r="E36" i="92"/>
  <c r="E35" i="92"/>
  <c r="E34" i="92"/>
  <c r="E33" i="92"/>
  <c r="E32" i="92"/>
  <c r="E31" i="92"/>
  <c r="E30" i="92"/>
  <c r="E28" i="92"/>
  <c r="H27" i="92"/>
  <c r="H28" i="92"/>
  <c r="H29" i="92"/>
  <c r="H30" i="92"/>
  <c r="H31" i="92"/>
  <c r="H32" i="92"/>
  <c r="H33" i="92"/>
  <c r="H34" i="92"/>
  <c r="F27" i="92"/>
  <c r="E27" i="92"/>
  <c r="H27" i="91"/>
  <c r="E33" i="91"/>
  <c r="H27" i="90"/>
  <c r="H28" i="90"/>
  <c r="H29" i="90"/>
  <c r="H30" i="90"/>
  <c r="H31" i="90"/>
  <c r="H32" i="90"/>
  <c r="H33" i="90"/>
  <c r="H34" i="90"/>
  <c r="H35" i="90"/>
  <c r="H36" i="90"/>
  <c r="H37" i="90"/>
  <c r="H38" i="90"/>
  <c r="E38" i="90"/>
  <c r="E37" i="90"/>
  <c r="E36" i="90"/>
  <c r="E35" i="90"/>
  <c r="E34" i="90"/>
  <c r="E33" i="90"/>
  <c r="E32" i="90"/>
  <c r="E31" i="90"/>
  <c r="E30" i="90"/>
  <c r="E29" i="90"/>
  <c r="E28" i="90"/>
  <c r="G27" i="90"/>
  <c r="I27" i="90"/>
  <c r="F27" i="90"/>
  <c r="E27" i="90"/>
  <c r="H35" i="93"/>
  <c r="H36" i="93"/>
  <c r="H37" i="93"/>
  <c r="H38" i="93"/>
  <c r="H33" i="87"/>
  <c r="H34" i="87"/>
  <c r="H35" i="87"/>
  <c r="H36" i="87"/>
  <c r="H37" i="87"/>
  <c r="H38" i="87"/>
  <c r="E37" i="87"/>
  <c r="E33" i="87"/>
  <c r="E29" i="87"/>
  <c r="H27" i="87"/>
  <c r="H28" i="87"/>
  <c r="E36" i="80"/>
  <c r="E32" i="80"/>
  <c r="E28" i="80"/>
  <c r="H27" i="80"/>
  <c r="H28" i="80"/>
  <c r="C28" i="87"/>
  <c r="E28" i="87"/>
  <c r="C29" i="87"/>
  <c r="C30" i="87"/>
  <c r="E30" i="87"/>
  <c r="C31" i="87"/>
  <c r="E31" i="87"/>
  <c r="C32" i="87"/>
  <c r="E32" i="87"/>
  <c r="C33" i="87"/>
  <c r="C34" i="87"/>
  <c r="E34" i="87"/>
  <c r="C35" i="87"/>
  <c r="E35" i="87"/>
  <c r="C36" i="87"/>
  <c r="E36" i="87"/>
  <c r="C37" i="87"/>
  <c r="C38" i="87"/>
  <c r="E38" i="87"/>
  <c r="C27" i="87"/>
  <c r="F27" i="87"/>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c r="G27" i="92"/>
  <c r="I27" i="92"/>
  <c r="E29" i="92"/>
  <c r="H28" i="91"/>
  <c r="H29" i="91"/>
  <c r="H30" i="91"/>
  <c r="H31" i="91"/>
  <c r="H32" i="91"/>
  <c r="H33" i="91"/>
  <c r="H34" i="91"/>
  <c r="H35" i="91"/>
  <c r="H36" i="91"/>
  <c r="H37" i="91"/>
  <c r="H38" i="91"/>
  <c r="F27" i="91"/>
  <c r="G27" i="91"/>
  <c r="I27" i="91"/>
  <c r="H29" i="87"/>
  <c r="H30" i="87"/>
  <c r="H31" i="87"/>
  <c r="H32" i="87"/>
  <c r="E27" i="87"/>
  <c r="G27" i="87"/>
  <c r="I27" i="87"/>
  <c r="H29" i="80"/>
  <c r="H30" i="80"/>
  <c r="H31" i="80"/>
  <c r="H32" i="80"/>
  <c r="H33" i="80"/>
  <c r="H34" i="80"/>
  <c r="H35" i="80"/>
  <c r="H36" i="80"/>
  <c r="H37" i="80"/>
  <c r="H38" i="80"/>
  <c r="E27" i="80"/>
  <c r="E30" i="80"/>
  <c r="H27" i="93"/>
  <c r="H28" i="93"/>
  <c r="I27" i="80"/>
  <c r="E29" i="80"/>
  <c r="H29" i="93"/>
  <c r="H30" i="93"/>
  <c r="H31" i="93"/>
  <c r="H32" i="93"/>
  <c r="H33" i="93"/>
  <c r="H34" i="93"/>
  <c r="G27" i="93"/>
  <c r="I2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<sst xmlns="http://schemas.openxmlformats.org/spreadsheetml/2006/main" count="1273" uniqueCount="424">
  <si>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</si>
  <si>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</si>
  <si>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</si>
  <si>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</si>
  <si>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</si>
  <si>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</si>
  <si>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</si>
  <si>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</si>
  <si>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</si>
  <si>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</si>
  <si>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</si>
  <si>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</si>
  <si>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</si>
  <si>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</si>
  <si>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</si>
  <si>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</si>
  <si>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</si>
  <si>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</si>
  <si>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</si>
  <si>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</si>
  <si>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</si>
  <si>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</si>
  <si>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</si>
  <si>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</si>
  <si>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</si>
  <si>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</si>
  <si>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</si>
  <si>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</si>
  <si>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</si>
  <si>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</si>
  <si>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</si>
  <si>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</si>
  <si>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</si>
  <si>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</si>
  <si>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</si>
  <si>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</si>
  <si>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</si>
  <si>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</si>
  <si>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</si>
  <si>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</si>
  <si>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</si>
  <si>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</si>
  <si>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</si>
  <si>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</si>
  <si>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</si>
  <si>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</si>
  <si>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</si>
  <si>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</si>
  <si>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</si>
  <si>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</si>
  <si>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</si>
  <si>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</si>
  <si>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</si>
  <si>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</si>
  <si>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</si>
  <si>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</si>
  <si>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</si>
  <si>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</si>
  <si>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</si>
  <si>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</si>
  <si>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</si>
  <si>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</si>
  <si>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</si>
  <si>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</si>
  <si>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</si>
  <si>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</si>
  <si>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</si>
  <si>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</si>
  <si>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</si>
  <si>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</si>
  <si>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</si>
  <si>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</si>
  <si>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</si>
  <si>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</si>
  <si>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</si>
  <si>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</si>
  <si>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</si>
  <si>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</si>
  <si>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</si>
  <si>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</si>
  <si>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</si>
  <si>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</si>
  <si>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</si>
  <si>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</si>
  <si>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</si>
  <si>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</si>
  <si>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</si>
  <si>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</si>
  <si>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</si>
  <si>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</si>
  <si>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</si>
  <si>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</si>
  <si>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</si>
  <si>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</si>
  <si>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</si>
  <si>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</si>
  <si>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</si>
  <si>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</si>
  <si>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</si>
  <si>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</si>
  <si>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</si>
  <si>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</si>
  <si>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</si>
  <si>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</si>
  <si>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</si>
  <si>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</si>
  <si>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</si>
  <si>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</si>
  <si>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</si>
  <si>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</si>
  <si>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</si>
  <si>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</si>
  <si>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</si>
  <si>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</si>
  <si>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</si>
  <si>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</si>
  <si>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</si>
  <si>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</si>
  <si>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</si>
  <si>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</si>
  <si>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</si>
  <si>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</si>
  <si>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</si>
  <si>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</si>
  <si>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</si>
  <si>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</si>
  <si>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</si>
  <si>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</si>
  <si>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</si>
  <si>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</si>
  <si>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</si>
  <si>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</si>
  <si>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</si>
  <si>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</si>
  <si>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</si>
  <si>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</si>
  <si>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</si>
  <si>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</si>
  <si>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</si>
  <si>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</si>
  <si>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</si>
  <si>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</si>
  <si>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</si>
  <si>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</si>
  <si>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</si>
  <si>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</si>
  <si>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</si>
  <si>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</si>
  <si>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</si>
  <si>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</si>
  <si>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</si>
  <si>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</si>
  <si>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</si>
  <si>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</si>
  <si>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</si>
  <si>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</si>
  <si>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</si>
  <si>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</si>
  <si>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</si>
  <si>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</si>
  <si>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</si>
  <si>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</si>
  <si>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</si>
  <si>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</si>
  <si>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</si>
  <si>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</si>
  <si>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</si>
  <si>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</si>
  <si>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</si>
  <si>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</si>
  <si>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</si>
  <si>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</si>
  <si>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</si>
  <si>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</si>
  <si>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</si>
  <si>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</si>
  <si>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</si>
  <si>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</si>
  <si>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</si>
  <si>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</si>
  <si>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</si>
  <si>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</si>
  <si>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</si>
  <si>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</si>
  <si>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</si>
  <si>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</si>
  <si>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</si>
  <si>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</si>
  <si>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</si>
  <si>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</si>
  <si>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</si>
  <si>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</si>
  <si>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</si>
  <si>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</si>
  <si>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</si>
  <si>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</si>
  <si>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</si>
  <si>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</si>
  <si>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</si>
  <si>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</si>
  <si>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</si>
  <si>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</si>
  <si>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</si>
  <si>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</si>
  <si>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</si>
  <si>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</si>
  <si>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</si>
  <si>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</si>
  <si>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</si>
  <si>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</si>
  <si>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</si>
  <si>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</si>
  <si>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</si>
  <si>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</si>
  <si>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</si>
  <si>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</si>
  <si>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</si>
  <si>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</si>
  <si>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</si>
  <si>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</si>
  <si>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</si>
  <si>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</si>
  <si>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</si>
  <si>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</si>
  <si>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</si>
  <si>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</si>
  <si>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</si>
  <si>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</si>
  <si>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</si>
  <si>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</si>
  <si>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</si>
  <si>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</si>
  <si>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</si>
  <si>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</si>
  <si>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</si>
  <si>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</si>
  <si>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</si>
  <si>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</si>
  <si>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</si>
  <si>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</si>
  <si>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</si>
  <si>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</si>
  <si>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</si>
  <si>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</si>
  <si>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</si>
  <si>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</si>
  <si>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</si>
  <si>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</si>
  <si>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</si>
  <si>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</si>
  <si>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</si>
  <si>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</si>
  <si>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</si>
  <si>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</si>
  <si>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</si>
  <si>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</si>
  <si>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</si>
  <si>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</si>
  <si>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</si>
  <si>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</si>
  <si>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</si>
  <si>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</si>
  <si>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</si>
  <si>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</si>
  <si>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</si>
  <si>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</si>
  <si>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</si>
  <si>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</si>
  <si>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</si>
  <si>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</si>
  <si>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</si>
  <si>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</si>
  <si>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</si>
  <si>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</si>
  <si>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</si>
  <si>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</si>
  <si>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</si>
  <si>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</si>
  <si>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</si>
  <si>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</si>
  <si>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</si>
  <si>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</si>
  <si>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</si>
  <si>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</si>
  <si>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</si>
  <si>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</si>
  <si>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</si>
  <si>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</si>
  <si>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</si>
  <si>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</si>
  <si>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</si>
  <si>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</si>
  <si>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</si>
  <si>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</si>
  <si>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</si>
  <si>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</si>
  <si>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</si>
  <si>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</si>
  <si>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</si>
  <si>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</si>
  <si>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</si>
  <si>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</si>
  <si>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</si>
  <si>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</si>
  <si>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</si>
  <si>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</si>
  <si>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</si>
  <si>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</si>
  <si>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</si>
  <si>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</si>
  <si>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</si>
  <si>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</si>
  <si>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</si>
  <si>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</si>
  <si>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</si>
  <si>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</si>
  <si>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</si>
  <si>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</si>
  <si>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</si>
  <si>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</si>
  <si>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</si>
  <si>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</si>
  <si>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</si>
  <si>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</si>
  <si>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</si>
  <si>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</si>
  <si>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</si>
  <si>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LUZ JOHANA CASTILLO - CONTRATISTA SGC</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</si>
  <si>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</si>
  <si>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</si>
  <si>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</si>
  <si>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</si>
  <si>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</si>
  <si>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</si>
  <si>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</si>
  <si>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</si>
  <si>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</si>
  <si>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</si>
  <si>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</si>
  <si>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</si>
  <si>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</si>
  <si>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</si>
  <si>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</si>
  <si>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</si>
  <si>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</si>
  <si>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</si>
  <si>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</si>
  <si>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</si>
  <si>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</si>
  <si>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</si>
  <si>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</si>
  <si>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</si>
  <si>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</si>
  <si>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</si>
  <si>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</si>
  <si>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</si>
  <si>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YOHANNA VILLEGAS CARO - CATALINA CRUZ</t>
  </si>
  <si>
    <t xml:space="preserve">FORMATO DE REPORTE DEL MES DE ABRIL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</si>
  <si>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</si>
  <si>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</si>
  <si>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</si>
  <si>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</si>
  <si>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</si>
  <si>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</si>
  <si>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</si>
  <si>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</si>
  <si>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</si>
  <si>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</si>
  <si>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</si>
  <si>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</si>
  <si>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</si>
  <si>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</si>
  <si>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</si>
  <si>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</si>
  <si>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</si>
  <si>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</si>
  <si>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</si>
  <si>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</si>
  <si>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</si>
  <si>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</si>
  <si>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</si>
  <si>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</si>
  <si>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</si>
  <si>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</si>
  <si>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</si>
  <si>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</si>
  <si>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</si>
  <si>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</si>
  <si>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</si>
  <si>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</si>
  <si>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</si>
  <si>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</si>
  <si>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</si>
  <si>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</si>
  <si>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 xml:space="preserve">Se realizaron los ajustes necesarios al proyecto de rediseño y se presentó una reprogramación al cronograma de acuerdo a las nuevas realidades, razon por la cual se reajusta la magnitud anual del indicador de la Meta 1 para el año 2021 pasando de 0,4 a 0,3 </t>
  </si>
  <si>
    <t xml:space="preserve">Mediante la Gestión de Talento humano se da fortalecimiento a la primera dimensión del MIPG, se fortalecen las competencias de los colaboradores a través del suministro de información por medio de las actividades desarrolladas por la entidad, generando reconocimiento por las labores desempeñadas dentro del Instituto, por otra parte, se brinda capacitación al personal de planta, contratistas y se generan estrategias de bienestar para prestar el mejor servicio al cliente, generando valor público y responsabilidad social a través de las acciones realizadas en el interior del Instituto; </t>
  </si>
  <si>
    <t xml:space="preserve">Para este reporte no se presentó ningun retraso. </t>
  </si>
  <si>
    <t>Ingrid Elizabeth Torres Rodriguez</t>
  </si>
  <si>
    <t>Ninguno</t>
  </si>
  <si>
    <t>No se presentó ningún retraso para el cumplimiento de la meta, por consiguiente, no se plantearon soluciones a los mismos.</t>
  </si>
  <si>
    <t>Se está cumpliendo con el objeto, funciones y misionalidad establecidas en las disposiciones que rigen la entidad, dirigidas al bienestar y protección de la fauna silvestre y doméstica que habita en el Distrito Capital.</t>
  </si>
  <si>
    <t>*La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t>
  </si>
  <si>
    <t xml:space="preserve"> </t>
  </si>
  <si>
    <r>
      <rPr>
        <b/>
        <sz val="10"/>
        <color theme="1"/>
        <rFont val="Arial"/>
        <family val="2"/>
      </rPr>
      <t>GESTIÓN FINANCIERA:</t>
    </r>
    <r>
      <rPr>
        <sz val="10"/>
        <rFont val="Arial"/>
        <family val="2"/>
      </rPr>
      <t xml:space="preserve"> Con la incorporación y contabilización de las partidas contables se generan los estados financieros de la entidad, los cuales se presentan a los entes respectivos como CGN, DDC, Bogotá Consolida, Contraloría de Bogotá,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actualización del Plan Anual de Adquisiciones, se realizó seguimiento a la ejecución de Reservas.</t>
    </r>
  </si>
  <si>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</si>
  <si>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t>Henry Rincón - Leidy Rodríguez - Nancy Montero - Andrés Guerrero</t>
  </si>
  <si>
    <t>Durante este mes, se realizó la presentación de la propuesta de rediseño ante el Comité Directivo de la Entidad. Y se envió proyecto de documento al DASC y a la SDH.</t>
  </si>
  <si>
    <t xml:space="preserve">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</si>
  <si>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 xml:space="preserve">45 campañas y acciones de comunicación externa 
34 campañas y acciones de comunicación interna
14 cubrimientos de actividades del IDPYBA
713 Piezas diseñadas
70  videos producidos y editados 
13  notas y comunicados de prensa redactados 
66  publicaciones en medios de comunicación 
Publicaciones Facebook: 203 Twitter: 381 Instagram: 143 Total:  727
INTERACCIÓN EN REDES SOCIALES:   Facebook: 153.107, Twitter: 31.663, Instagram 94.317, Total: 279.087
Respuestas a mensajes en redes sociales: 1348
14 Notas publicadas en página web
ALCANCE EN REDES SOCIALES: Facebook:70.737, Twitter: 1.120.000 (impresiones), Instagram: 137.000  Total: 1.327.737
En el mes de OCTUBRE, 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</si>
  <si>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Blu Radio,  Caracol Radio, El Espectador, Radio Santa Fe, Noticias RCN, Las 2 Orillas, Semana, City TV,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para contribuir a la sensibilización y educación de esta en aspectos relacionados, entre otros temas, con maltrato animal, tenencia responsable, cuidado de la Fauna, canales de denuncia y adopciones.  </t>
  </si>
  <si>
    <t>En el mes de octubre de 2021 se realizó los reportes en PMR, SPI, POA y Hojas de vida de indicadores. Se acompañó a las Subdirecciones tecnicas en las modificaciones del Plan de Adquisiciones que requerían traslados presupuestales entre metas de los proyectos. 
Durante el mes de octubre se acompañó el espacio socialización del estado de las Políticas Públicas Ambiante, *Políticas Públicas Ambientales, en la mesa técnica con la Dirección de Políticas Sectoriales de la SDP, en la cual se socializó el avance del proceso de actualización del plan de acción de la Política Pública de Protección y Bienestar Animal, el cual será radicado ante la secretaría técnica del CONPES por parte de la Secretaría Distrital de Ambiente, luego de ser aprobado en comité sectorial de ambiente.
Así mismo, se prestó acompañamiento técnico para la implementación del producto del observatorio PYBA en su proceso de mejoramiento tecnológico.
Para la formulacion de herramientas 2022,  se realizó presentación, metodología de trabajo y cronogramas de mesas de trabajo.</t>
  </si>
  <si>
    <t xml:space="preserve">En el mes de octubre  se emitieron 2 actas de adopción (33 y  34) en donde se actualizaron o crearon 8 documentos, se actualiza el listado maestro de documentos. Se modifican o cargan  compromisos en espacios de participacion reglamentada y no reglamentada en la plataforma colibrí de la veeduria Distrital. </t>
  </si>
  <si>
    <t>En el mes de octubre se considera como positivo la realización de los seguimientos del Plan de Mejoramiento FURAG,  PAAC y Riesgos de Gestion y Corrupción</t>
  </si>
  <si>
    <r>
      <rPr>
        <b/>
        <sz val="11"/>
        <color theme="1"/>
        <rFont val="Arial"/>
        <family val="2"/>
      </rPr>
      <t>OFICINA ASESORA JURIDICA</t>
    </r>
    <r>
      <rPr>
        <sz val="11"/>
        <color theme="1"/>
        <rFont val="Arial"/>
        <family val="2"/>
      </rPr>
      <t xml:space="preserve"> 
AVANCES OAJ: La Oficina Asesora Jurídica a través de los 5 grupos que la conforman: Grupo de Defensa Judicial, Grupo de Asuntos Normativos, Grupo de Asuntos Penales, Grupo de Asuntos Administrativos y el Centro de Atención Jurídica CAJ, atendio la totalidad de los 216 requerimientos asignados en el mes de octubre de 2021. 
• Se contesto dentro de la oportunidad legal la accion de tutela presentada durante este período.  Todos los requerimientos judiciales fueron atendidos dentro de los términos legales.
• Se adelantaron todas las actividades tendientes a dar cumplimiento al fallo de las Acciones Populares No 2017-00162 y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LOGROS OAJ: • Los logros ms importantes durante este período fueron:
• Respuestas a requerimientos dentro de los términos legales.
• Atención oportuna de la contestación a las Acciones de Tutela notificadas y de las 2  demandas de Reparación Directa No 2021-00165. Así como a los requerimientos de orden judicial solicitados. 
• Fallos de tutela favorables para la entidad.
• Respuestas a derechos de petición y requerimientos dentro de los términos legales. 
 •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1"/>
        <color theme="1"/>
        <rFont val="Arial"/>
        <family val="2"/>
      </rPr>
      <t xml:space="preserve">SUBDIRECCIÓN DE GESTIÓN CORPORATIVA - GRUPO CONTRACTUAL: 
</t>
    </r>
    <r>
      <rPr>
        <sz val="11"/>
        <color theme="1"/>
        <rFont val="Arial"/>
        <family val="2"/>
      </rPr>
      <t>En la Gestion Contractual se realizan 10 revisiones de Documentos precontractuales. Se solicitan 41 solicitudes de Certificacion en el mes
La Oficina contractual recepciona diversos requerimientos provenientes de la ciudadanía y de entes de Control. Para el mes se dio tramite a:
- 11  Derechos de Petición, y Requerimientos
-Se realizo la presentacion de Informes a entes de Control que se requieren mensualmente como los son: SIVICOF y SIDEAP, e informe con correcciones solicitadas de cuatriemstral de VEEDURIA
-Los expedientes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
-En el mes ACTA LIQUID 350-2019 LEIDY YOHANA MORALES CEBALLOS-ACTA  LIQUIDACIÓN CTO NRO. 261 -2020 SEGURIDAD DIGITAL -CTO-306-2020 ACTA LIQUIDACION</t>
    </r>
  </si>
  <si>
    <r>
      <rPr>
        <b/>
        <sz val="10"/>
        <color theme="1"/>
        <rFont val="Arial"/>
        <family val="2"/>
      </rPr>
      <t xml:space="preserve">GESTIÓN DOCUMENTAL:  </t>
    </r>
    <r>
      <rPr>
        <sz val="10"/>
        <color theme="1"/>
        <rFont val="Arial"/>
        <family val="2"/>
      </rPr>
      <t>Gestión Documental se encuentra efectuando procesos de organización documental de las áreas que debían entregar sus transferencias primarias documentales, sin embargo, la documentación se encontró sin intervención archivística, por lo cual fue trasladada al edificio de la sede administrativa, donde se está culminando actividades como lo son: Clasificación, ordenación, encarpetado, foliación, inventario documental, hoja de control y digitalización de esta información.
Para la actualización de la Tabla de Retención documental, se encuentra pendiente la actualización de modificaciones y actualización de procedimientos internos del área misional - Subdirección de Atención a la Fauna, se estima tener procedimientos ajustados para diciembre de 2021.
Hasta la fecha se encuentra pendiente la recepción de inventarios documentales de los archivos de los procesos de fauna silvestre, atención al ciudadano, educación, participación, maltrato e identificación., a los cuales se les realizará seguimiento.
Respecto a transferencias primarias documentales se encuentran pendientes la recepción de los siguientes procesos: Hospitalización, identificación, fauna silvestre, Maltrato, Brigadas médicas, Oficina Asesora Jurídica, Comunicaciones, Oficina Asesora de Planeación y Atención al ciudadano.
En cuanto al documento MOREQ, se tiene programada mesa de trabajo para seguimiento de la formulación con el área de tecnología para la primera semana de noviembre
Se han efectuado las capacitaciones requeridas al área, según las necesidades que se presenten en las dependencias.
La formulación de los planes de conservación documental y plan de preservación digital a largo plazo, para la conformación del Sistema Integrado de Conservación se encuentran para el último semestre, sin embargo, por cuestión de recursos se dificulta conseguir este perfil para dar cumplimiento a la normatividad vigente, por lo que se solicitó la asignación de recursos para la siguiente vigencia.
La Tabla de Retención Documental - TRD está en proceso de actualización, debido a que los procedimientos internos del área misional, Subdirección de Atención a la Fauna se encuentran en modificación y/o actualización, hasta el mes de diciembre de la presente vigencia.</t>
    </r>
  </si>
  <si>
    <r>
      <rPr>
        <b/>
        <sz val="10"/>
        <color theme="1"/>
        <rFont val="Arial"/>
        <family val="2"/>
      </rPr>
      <t>GESTIÓN AMBIENTAL:</t>
    </r>
    <r>
      <rPr>
        <sz val="10"/>
        <color theme="1"/>
        <rFont val="Arial"/>
        <family val="2"/>
      </rPr>
      <t xml:space="preserve">
•	Se actualiza las bitácoras de biciusuarios y residuos ordinarios, reciclables, peligrosos infecciosos y administrativos.   
•	Aprovechamiento del sistema de aguas lluvia para el lavado de caniles los días 6, 15, 16,17,20 y 21 de octubre.
•	Se realizan dos controles de 34 estaciones para control de vectores.     
•	Se realizan dos fumigaciones de zonas externas, oficinas, bodegas y zonas de caniles.  
•	Se realiza la desinfección ambiental en zonas externas y oficinas con amonio cuaternario de quinta generación  
•	Se realizaron 9 entregas de residuos peligrosos (Cortopunzantes, biosanitarios, animales) a la empresa Ecocapital.     
•	Se realizó visita de diagnóstico a la Secretaría Distrital de Movilidad, para realizar la certificación del ciclo parqueadero de la Unidad de Cuidado Animal, Se realizaron verificaciones de las condiciones del transporte mediante formato PA03-PR03-F06.      
•	Se realizaron cuatro entregas de material reciclado a la asociación de reciclaje 240 Kg.   
•	Se realizó el estudio previó para la caracterización de aguas residuales no domesticas en la Unidad de Cuidado Animal   </t>
    </r>
  </si>
  <si>
    <r>
      <rPr>
        <b/>
        <sz val="10"/>
        <color theme="1"/>
        <rFont val="Arial"/>
        <family val="2"/>
      </rPr>
      <t>SERVICIO AL CIUDADANO:</t>
    </r>
    <r>
      <rPr>
        <sz val="10"/>
        <color theme="1"/>
        <rFont val="Arial"/>
        <family val="2"/>
      </rPr>
      <t xml:space="preserve"> durante el mes de octubre, lo ciudadanos respondieron 88 encuestas de satisfacción, en donde se evidencia que el 83% de los ciudadanos se encuentran satisfechos y muy satisfechos con el servicio recibido, el porcentaje de insatisfacción es del 8% y corresponde a los ciudadanos que no han recibido respuestas a sus requerimientos refentes a denuncias por presunto maltrato animal, o  que no están de acuerdo con las respuestas dadas por el área de Escuadrón Anti crueldad (tiempos de visita). Con respecto al mes anterior la satisfacción incrementò dado que los ciudadanos pudieron realizar su proceso de asiganción de turnos sin mayor dificultad, sin embargo teniendo en cneuta la alta demanda para este servicio hay ciudadanos que manifiestan su incoformidad al no poder acceder a los cupos para dispuestos para el mes.
En el mes de octubre se radicaron un total de 975 derechos de petición a través de los canales de atención al ciudadano habilitados, Se cerraron 53 peticiones fuera de términos de ley, lo cual responde al cambio de personal en el grupo de escuadrón Anticrueldad, a quién le corresponden aproximadamente le 40% del total de las peticiones allegadas al Instituto. Adicionalmente a que la Subdirección de Atención a la Fauna ha venido trabajando en el mejoramiento de las respuestas, con el fin de dar una respuesta de fondo a la ciudadanía, evitando de esta manera reclamos y reprocesos por falta de claridad en la información.</t>
    </r>
  </si>
  <si>
    <r>
      <rPr>
        <b/>
        <sz val="10"/>
        <color theme="1"/>
        <rFont val="Arial"/>
        <family val="2"/>
      </rPr>
      <t>TALENTO HUMANO</t>
    </r>
    <r>
      <rPr>
        <sz val="10"/>
        <color theme="1"/>
        <rFont val="Arial"/>
        <family val="2"/>
      </rPr>
      <t>: De acuerdo con el Plan de trabajo establecido, se tenía previsto el desarrollo de 6 capacitaciones en el mes de OCTUBREbre, de las cuales 3 se ejecutaron, asi mismo, se realizaron 4 capacitaciones que no se encontraban establecidas en el PIC como estrategia de cumplimiento y nivelacion de indicaores. igualmente y de acuerdo con el Plan de Bienestar e Incentivos para el mes de septiembre se tenían programadas 5 actividades las cuales se realizaron 3. Se logro cumplir con los estandares minimos y con SST segun lo establecido. Se cumple con los once  actos administrativos que se presentaron y se efectuaron las actualizaciones correspondientes en el SIDEAP.</t>
    </r>
  </si>
  <si>
    <r>
      <rPr>
        <b/>
        <sz val="10"/>
        <color theme="1"/>
        <rFont val="Arial"/>
        <family val="2"/>
      </rPr>
      <t>RECURSOS FÍSICOS:</t>
    </r>
    <r>
      <rPr>
        <sz val="10"/>
        <color theme="1"/>
        <rFont val="Arial"/>
        <family val="2"/>
      </rPr>
      <t xml:space="preserve"> 1- Durante el mes de OCTUBRE desde almacén se dio respuesta a 180 solicitudes, lo cual representa un 100 % de las solicitudes de entrega, traslado y/o reintegro de bienes, con el fin de mantener actualizado el inventario, se registra cada movimiento en el  aplicativo de inventarios.
2- Se mantuvo actualizado el inventario, con el fin de mostrar la realidad económica y contable del mismo, durante el mes de octubre 2021, valor del inventario, al cierre del mes asciende a la suma  de $ 675,099,134, almacenados en las dos bodegas con las que cuenta el IDPYBA.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10 informes de proveedores.
4- Durante el mes de OCTUBRE se realizo el remite de pago de las facturas del servicio de energía de la sede administrativa, unico servicio publico a cargo del equipo de recursos fisicos.
5 - Durante este periodo se realizo la solcitud de ajustes en la sede administrativa, dicho mantenimiento es prestado por la empresa Moderline, contratista a cargo del arrendamiento del piso 8 Residencias Tequendama Torre sur.
6 - Durante el mes de octubre se convoco a comite de inventarios, con el fin de poner en consideracion la baja de los bienes ubicados en</t>
    </r>
  </si>
  <si>
    <r>
      <rPr>
        <b/>
        <sz val="10"/>
        <color theme="1"/>
        <rFont val="Arial"/>
        <family val="2"/>
      </rPr>
      <t>TALENTO HUMANO:</t>
    </r>
    <r>
      <rPr>
        <sz val="10"/>
        <color theme="1"/>
        <rFont val="Arial"/>
        <family val="2"/>
      </rPr>
      <t xml:space="preserve"> No se realizaron las siguientes capacitaciones: Normatividad en materia de protección y bienestar animal: No se ejecuto en el plazo asignado, ya que la oficina asesora no contaba con un facilitador en las fechas asignadas. Se reprograma para el mes de noviembre. Orden y limpieza: No se ejecutó en el plazo asignado, ya el equipo encargado no contaba con el espacio de programación en su cronograma de trabajo. Uso de elementos de protección personal: No se ejecutó en el plazo asignado, ya el equipo encargado no contaba con el espacio de programación en su cronograma de trabajo. Se reprogramas estas 3 capacitaciones para el mes de noviembre. Por otro lado no se ejecutaron las siguientes actividades de bienestar: Vacaciones recreativas: No se ejecutó en el plazo asignado, ya que no se cuenta con el contrato de la Caja de compensación Familiar. Se replantea para ejecución diciembre. Día niños segundo semestre: No se ejecutó en el plazo asignado, ya que no se cuenta con el contrato de la Caja de compensación Familiar. Se replantea para ejecución diciembre. Se encuentran adelantando el contrato con la caja de compensacion para la ejecucion de las actividades pendientes</t>
    </r>
  </si>
  <si>
    <t>Fredy Ariza, Iván Malaver, Mauricio López, Liz Tabares, Manuel Rentería, Natalia Roncancio</t>
  </si>
  <si>
    <t>Dentro de las acciones para la actualización de los recursos de Tecnologías de la Información, se llevó a cabo la socialización de la herramienta de One Drive ya que es de gran importancia para salvaguardar la información.
Se procedió con la actualización de los Activos de Información de las áreas, incluyendo la ley de Transparencia 1712 de 2014 y la ley de protección de datos 1581 de 2012. 
Se realizó actualización en la plataforma SISEPP con relación a los formatos de RP y CDP.
Se culminó la herramienta de Seguimiento de Tareas, la cual fue entregada para su funcionamiento. 
 Se realizó creación del micrositio para consulta de RUES.  
 Se llevo a cabo las mejoras de Usabilidad en la Sección de Transparencia en el ítem 4 Planeación, Presupuesto e Informes</t>
  </si>
  <si>
    <t>Las dificultades que se han presentado han sido con relación a la implementación del servidor de Backup ya que no se ha podido realizar la configuración en los equipos de cómputo dado que por temas de actualizaciones S.O han generado demoras, la solución es poner en marcha la configuración de la herramienta de Veeam Backup y dar inicio a los backups de los usuarios de la entidad.</t>
  </si>
  <si>
    <t>Los beneficios obtenidos para este mes ayudan a la comunidad para mayor facilidad con relación a la busqueda de contenido a través del portal Web, adicionalmente se creó un espacio para la divulgación y visualización del steaming del evento de la Semana Distrital.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</si>
</sst>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 #,##0.00\ &quot;€&quot;_-;\-* #,##0.00\ &quot;€&quot;_-;_-* &quot;-&quot;??\ &quot;€&quot;_-;_-@_-"/>
    <numFmt numFmtId="43" formatCode="_-* #,##0.00_-;\-* #,##0.0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00_ ;_ * \-#,##0.00_ ;_ * &quot;-&quot;??_ ;_ @_ "/>
    <numFmt numFmtId="169" formatCode="0.0%"/>
    <numFmt numFmtId="170" formatCode="_(* #,##0_);_(* \(#,##0\);_(* &quot;-&quot;??_);_(@_)"/>
    <numFmt numFmtId="171" formatCode="_(* #,##0.00_);_(* \(#,##0.00\);_(* &quot;-&quot;_);_(@_)"/>
    <numFmt numFmtId="172" formatCode="_-* #,##0.00\ &quot;$&quot;_-;\-* #,##0.00\ &quot;$&quot;_-;_-* &quot;-&quot;??\ &quot;$&quot;_-;_-@_-"/>
    <numFmt numFmtId="173" formatCode="_-* #,##0.00\ _$_-;\-* #,##0.00\ _$_-;_-* &quot;-&quot;??\ _$_-;_-@_-"/>
    <numFmt numFmtId="174" formatCode="#,##0.0"/>
    <numFmt numFmtId="175" formatCode="_(* #,##0.0_);_(* \(#,##0.0\);_(* &quot;-&quot;??_);_(@_)"/>
    <numFmt numFmtId="176" formatCode="0.0"/>
    <numFmt numFmtId="177" formatCode="0.000"/>
    <numFmt numFmtId="178" formatCode="_(* #,##0.000_);_(* \(#,##0.000\);_(* &quot;-&quot;??_);_(@_)"/>
    <numFmt numFmtId="179" formatCode="_(* #,##0.0000_);_(* \(#,##0.0000\);_(* &quot;-&quot;??_);_(@_)"/>
    <numFmt numFmtId="180"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8" fontId="7" fillId="0" borderId="0" applyFont="0" applyFill="0" applyBorder="0" applyAlignment="0" applyProtection="0"/>
    <xf numFmtId="168"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7"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7"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43" fontId="33" fillId="0" borderId="0" applyFont="0" applyFill="0" applyBorder="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43" fontId="33" fillId="0" borderId="0" applyFont="0" applyFill="0" applyBorder="0" applyAlignment="0" applyProtection="0"/>
    <xf numFmtId="0" fontId="23" fillId="7" borderId="180" applyNumberFormat="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43" fontId="33" fillId="0" borderId="0" applyFont="0" applyFill="0" applyBorder="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43" fontId="33" fillId="0" borderId="0" applyFont="0" applyFill="0" applyBorder="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0" fontId="26" fillId="16" borderId="182" applyNumberFormat="0" applyAlignment="0" applyProtection="0"/>
    <xf numFmtId="41" fontId="33" fillId="0" borderId="0" applyFont="0" applyFill="0" applyBorder="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43" fontId="33" fillId="0" borderId="0" applyFont="0" applyFill="0" applyBorder="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3" fillId="7" borderId="18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7" applyNumberFormat="0" applyFont="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43" fontId="33" fillId="0" borderId="0" applyFont="0" applyFill="0" applyBorder="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43" fontId="33" fillId="0" borderId="0" applyFont="0" applyFill="0" applyBorder="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78"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8"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43" fontId="33" fillId="0" borderId="0" applyFont="0" applyFill="0" applyBorder="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23" fillId="7" borderId="194"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43" fontId="33" fillId="0" borderId="0" applyFont="0" applyFill="0" applyBorder="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43" fontId="33" fillId="0" borderId="0" applyFont="0" applyFill="0" applyBorder="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0" fontId="26" fillId="16" borderId="196" applyNumberFormat="0" applyAlignment="0" applyProtection="0"/>
    <xf numFmtId="41" fontId="33" fillId="0" borderId="0" applyFont="0" applyFill="0" applyBorder="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43" fontId="33" fillId="0" borderId="0" applyFont="0" applyFill="0" applyBorder="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43" fontId="33" fillId="0" borderId="0" applyFont="0" applyFill="0" applyBorder="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43" fontId="33" fillId="0" borderId="0" applyFont="0" applyFill="0" applyBorder="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cellStyleXfs>
  <cellXfs count="844">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69"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5" fontId="33" fillId="0" borderId="0" xfId="1251" applyFont="1"/>
    <xf numFmtId="165"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0" fontId="63" fillId="26" borderId="10" xfId="1250" applyNumberFormat="1" applyFont="1" applyFill="1" applyBorder="1" applyAlignment="1">
      <alignment horizontal="center" vertical="center"/>
    </xf>
    <xf numFmtId="167" fontId="9" fillId="26" borderId="10" xfId="1250" applyFont="1" applyFill="1" applyBorder="1" applyAlignment="1">
      <alignment horizontal="center" vertical="center"/>
    </xf>
    <xf numFmtId="170" fontId="63" fillId="60" borderId="10" xfId="1250" applyNumberFormat="1" applyFont="1" applyFill="1" applyBorder="1" applyAlignment="1">
      <alignment horizontal="center" vertical="center"/>
    </xf>
    <xf numFmtId="167"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69"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7"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8" fontId="70" fillId="50" borderId="71" xfId="1250" applyNumberFormat="1" applyFont="1" applyFill="1" applyBorder="1" applyAlignment="1" applyProtection="1">
      <alignment horizontal="center" vertical="center"/>
      <protection hidden="1"/>
    </xf>
    <xf numFmtId="178"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6" fontId="5" fillId="0" borderId="75" xfId="1496" applyNumberFormat="1" applyFont="1" applyFill="1" applyBorder="1" applyAlignment="1" applyProtection="1">
      <alignment horizontal="center" vertical="center" wrapText="1"/>
      <protection hidden="1"/>
    </xf>
    <xf numFmtId="176"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8"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7"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6"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7"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7" fontId="5" fillId="0" borderId="75" xfId="1496" applyNumberFormat="1" applyFont="1" applyFill="1" applyBorder="1" applyAlignment="1" applyProtection="1">
      <alignment horizontal="center" vertical="center" wrapText="1"/>
      <protection hidden="1"/>
    </xf>
    <xf numFmtId="177"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6" fontId="5" fillId="24" borderId="75" xfId="1496" applyNumberFormat="1" applyFont="1" applyFill="1" applyBorder="1" applyAlignment="1" applyProtection="1">
      <alignment horizontal="center" vertical="center" wrapText="1"/>
      <protection hidden="1"/>
    </xf>
    <xf numFmtId="176" fontId="5" fillId="24" borderId="78" xfId="1496" applyNumberFormat="1" applyFont="1" applyFill="1" applyBorder="1" applyAlignment="1" applyProtection="1">
      <alignment horizontal="center" vertical="center" wrapText="1"/>
      <protection hidden="1"/>
    </xf>
    <xf numFmtId="178" fontId="70" fillId="24" borderId="71" xfId="1250" applyNumberFormat="1" applyFont="1" applyFill="1" applyBorder="1" applyAlignment="1" applyProtection="1">
      <alignment horizontal="center" vertical="center"/>
      <protection hidden="1"/>
    </xf>
    <xf numFmtId="179" fontId="70" fillId="24" borderId="75"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8"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43" fontId="9" fillId="0" borderId="159" xfId="14326" applyFont="1" applyFill="1" applyBorder="1" applyAlignment="1">
      <alignment horizontal="center" vertical="center"/>
    </xf>
    <xf numFmtId="9" fontId="54" fillId="0" borderId="157" xfId="0" applyNumberFormat="1" applyFont="1" applyBorder="1"/>
    <xf numFmtId="167"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167" fontId="9" fillId="0" borderId="198" xfId="1250" applyFont="1" applyFill="1" applyBorder="1" applyAlignment="1">
      <alignment horizontal="center" vertical="center"/>
    </xf>
    <xf numFmtId="10" fontId="9" fillId="0" borderId="198" xfId="14326" applyNumberFormat="1"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0" fontId="8" fillId="61" borderId="36" xfId="1371" applyFont="1" applyFill="1" applyBorder="1" applyAlignment="1" applyProtection="1">
      <alignment horizontal="center" vertical="center" wrapText="1"/>
      <protection hidden="1"/>
    </xf>
    <xf numFmtId="167" fontId="63" fillId="0" borderId="199" xfId="1250" applyFont="1" applyFill="1" applyBorder="1" applyAlignment="1">
      <alignment horizontal="center" vertical="center"/>
    </xf>
    <xf numFmtId="9" fontId="54" fillId="0" borderId="199" xfId="0" applyNumberFormat="1" applyFont="1" applyBorder="1"/>
    <xf numFmtId="167" fontId="63" fillId="24" borderId="199" xfId="1250" applyFont="1" applyFill="1" applyBorder="1" applyAlignment="1">
      <alignment horizontal="center" vertical="center"/>
    </xf>
    <xf numFmtId="10" fontId="9" fillId="24" borderId="157" xfId="1495" applyNumberFormat="1" applyFont="1" applyFill="1" applyBorder="1" applyAlignment="1">
      <alignment horizontal="center" vertical="center"/>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7" fontId="15" fillId="51" borderId="17" xfId="1250" applyNumberFormat="1" applyFont="1" applyFill="1" applyBorder="1" applyAlignment="1" applyProtection="1">
      <alignment vertical="center" wrapText="1"/>
      <protection hidden="1"/>
    </xf>
    <xf numFmtId="167" fontId="15" fillId="51" borderId="19" xfId="1250" applyNumberFormat="1" applyFont="1" applyFill="1" applyBorder="1" applyAlignment="1" applyProtection="1">
      <alignment vertical="center" wrapText="1"/>
      <protection hidden="1"/>
    </xf>
    <xf numFmtId="167" fontId="15" fillId="0" borderId="17" xfId="1250" applyNumberFormat="1" applyFont="1" applyFill="1" applyBorder="1" applyAlignment="1" applyProtection="1">
      <alignment vertical="center" wrapText="1"/>
      <protection hidden="1"/>
    </xf>
    <xf numFmtId="167"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0" fontId="15" fillId="0" borderId="10" xfId="1250" applyNumberFormat="1" applyFont="1" applyFill="1" applyBorder="1" applyAlignment="1" applyProtection="1">
      <alignment vertical="center" wrapText="1"/>
      <protection hidden="1"/>
    </xf>
    <xf numFmtId="167" fontId="5" fillId="0" borderId="17" xfId="1250" applyFont="1" applyFill="1" applyBorder="1" applyAlignment="1" applyProtection="1">
      <alignment horizontal="center" vertical="center" wrapText="1"/>
      <protection hidden="1"/>
    </xf>
    <xf numFmtId="167" fontId="5" fillId="0" borderId="19" xfId="1250" applyFont="1" applyFill="1" applyBorder="1" applyAlignment="1" applyProtection="1">
      <alignment horizontal="center" vertical="center" wrapText="1"/>
      <protection hidden="1"/>
    </xf>
    <xf numFmtId="169"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1" fontId="15" fillId="55" borderId="17" xfId="1251" applyNumberFormat="1" applyFont="1" applyFill="1" applyBorder="1" applyAlignment="1" applyProtection="1">
      <alignment horizontal="center" vertical="center" wrapText="1"/>
      <protection hidden="1"/>
    </xf>
    <xf numFmtId="171"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0" fontId="15" fillId="50" borderId="17" xfId="1250" applyNumberFormat="1" applyFont="1" applyFill="1" applyBorder="1" applyAlignment="1" applyProtection="1">
      <alignment vertical="center" wrapText="1"/>
      <protection hidden="1"/>
    </xf>
    <xf numFmtId="170" fontId="15" fillId="50" borderId="19" xfId="1250" applyNumberFormat="1" applyFont="1" applyFill="1" applyBorder="1" applyAlignment="1" applyProtection="1">
      <alignment vertical="center" wrapText="1"/>
      <protection hidden="1"/>
    </xf>
    <xf numFmtId="170" fontId="15" fillId="51" borderId="17" xfId="1250" applyNumberFormat="1" applyFont="1" applyFill="1" applyBorder="1" applyAlignment="1" applyProtection="1">
      <alignment vertical="center" wrapText="1"/>
      <protection hidden="1"/>
    </xf>
    <xf numFmtId="170" fontId="15" fillId="51" borderId="19" xfId="1250" applyNumberFormat="1" applyFont="1" applyFill="1" applyBorder="1" applyAlignment="1" applyProtection="1">
      <alignment vertical="center" wrapText="1"/>
      <protection hidden="1"/>
    </xf>
    <xf numFmtId="170" fontId="15" fillId="0" borderId="17" xfId="1250" applyNumberFormat="1" applyFont="1" applyFill="1" applyBorder="1" applyAlignment="1" applyProtection="1">
      <alignment vertical="center" wrapText="1"/>
      <protection hidden="1"/>
    </xf>
    <xf numFmtId="170"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7" fontId="15" fillId="50" borderId="17" xfId="1250" applyNumberFormat="1" applyFont="1" applyFill="1" applyBorder="1" applyAlignment="1" applyProtection="1">
      <alignment vertical="center" wrapText="1"/>
      <protection hidden="1"/>
    </xf>
    <xf numFmtId="167"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69" fontId="70" fillId="50" borderId="22" xfId="0" applyNumberFormat="1" applyFont="1" applyFill="1" applyBorder="1" applyAlignment="1" applyProtection="1">
      <alignment horizontal="center" vertical="center" wrapText="1"/>
      <protection hidden="1"/>
    </xf>
    <xf numFmtId="169" fontId="70" fillId="50" borderId="23" xfId="0" applyNumberFormat="1" applyFont="1" applyFill="1" applyBorder="1" applyAlignment="1" applyProtection="1">
      <alignment horizontal="center" vertical="center" wrapText="1"/>
      <protection hidden="1"/>
    </xf>
    <xf numFmtId="169" fontId="70" fillId="50" borderId="26" xfId="0" applyNumberFormat="1" applyFont="1" applyFill="1" applyBorder="1" applyAlignment="1" applyProtection="1">
      <alignment horizontal="center" vertical="center" wrapText="1"/>
      <protection hidden="1"/>
    </xf>
    <xf numFmtId="169" fontId="70" fillId="50" borderId="27" xfId="0" applyNumberFormat="1" applyFont="1" applyFill="1" applyBorder="1" applyAlignment="1" applyProtection="1">
      <alignment horizontal="center" vertical="center" wrapText="1"/>
      <protection hidden="1"/>
    </xf>
    <xf numFmtId="169" fontId="71" fillId="55" borderId="17" xfId="0" applyNumberFormat="1" applyFont="1" applyFill="1" applyBorder="1" applyAlignment="1" applyProtection="1">
      <alignment horizontal="center" vertical="center" wrapText="1"/>
      <protection hidden="1"/>
    </xf>
    <xf numFmtId="169" fontId="71" fillId="55" borderId="19" xfId="0" applyNumberFormat="1" applyFont="1" applyFill="1" applyBorder="1" applyAlignment="1" applyProtection="1">
      <alignment horizontal="center" vertical="center" wrapText="1"/>
      <protection hidden="1"/>
    </xf>
    <xf numFmtId="169" fontId="15" fillId="55" borderId="17" xfId="0" applyNumberFormat="1" applyFont="1" applyFill="1" applyBorder="1" applyAlignment="1" applyProtection="1">
      <alignment horizontal="center" vertical="center" wrapText="1"/>
      <protection hidden="1"/>
    </xf>
    <xf numFmtId="169" fontId="15" fillId="55" borderId="19" xfId="0" applyNumberFormat="1" applyFont="1" applyFill="1" applyBorder="1" applyAlignment="1" applyProtection="1">
      <alignment horizontal="center" vertical="center" wrapText="1"/>
      <protection hidden="1"/>
    </xf>
    <xf numFmtId="169" fontId="5" fillId="50" borderId="22" xfId="0" applyNumberFormat="1" applyFont="1" applyFill="1" applyBorder="1" applyAlignment="1" applyProtection="1">
      <alignment horizontal="center" vertical="center" wrapText="1"/>
      <protection hidden="1"/>
    </xf>
    <xf numFmtId="169" fontId="5" fillId="50" borderId="23" xfId="0" applyNumberFormat="1" applyFont="1" applyFill="1" applyBorder="1" applyAlignment="1" applyProtection="1">
      <alignment horizontal="center" vertical="center" wrapText="1"/>
      <protection hidden="1"/>
    </xf>
    <xf numFmtId="169" fontId="5" fillId="50" borderId="26" xfId="0" applyNumberFormat="1" applyFont="1" applyFill="1" applyBorder="1" applyAlignment="1" applyProtection="1">
      <alignment horizontal="center" vertical="center" wrapText="1"/>
      <protection hidden="1"/>
    </xf>
    <xf numFmtId="169" fontId="5" fillId="50" borderId="27" xfId="0" applyNumberFormat="1" applyFont="1" applyFill="1" applyBorder="1" applyAlignment="1" applyProtection="1">
      <alignment horizontal="center" vertical="center" wrapText="1"/>
      <protection hidden="1"/>
    </xf>
    <xf numFmtId="169" fontId="5" fillId="50" borderId="17" xfId="0" applyNumberFormat="1" applyFont="1" applyFill="1" applyBorder="1" applyAlignment="1" applyProtection="1">
      <alignment vertical="center" wrapText="1"/>
      <protection hidden="1"/>
    </xf>
    <xf numFmtId="169"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69" fontId="5" fillId="51" borderId="17" xfId="0" applyNumberFormat="1" applyFont="1" applyFill="1" applyBorder="1" applyAlignment="1" applyProtection="1">
      <alignment vertical="center" wrapText="1"/>
      <protection hidden="1"/>
    </xf>
    <xf numFmtId="169"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69" fontId="15" fillId="50" borderId="17" xfId="0" applyNumberFormat="1" applyFont="1" applyFill="1" applyBorder="1" applyAlignment="1" applyProtection="1">
      <alignment vertical="center" wrapText="1"/>
      <protection hidden="1"/>
    </xf>
    <xf numFmtId="169"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69" fontId="9" fillId="0" borderId="20" xfId="1496" applyNumberFormat="1" applyFont="1" applyFill="1" applyBorder="1" applyAlignment="1">
      <alignment horizontal="center" vertical="center" wrapText="1"/>
    </xf>
    <xf numFmtId="169" fontId="9" fillId="0" borderId="32" xfId="1496" applyNumberFormat="1" applyFont="1" applyFill="1" applyBorder="1" applyAlignment="1">
      <alignment horizontal="center" vertical="center" wrapText="1"/>
    </xf>
    <xf numFmtId="169"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14" fontId="5" fillId="0" borderId="75" xfId="1371" applyNumberFormat="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74" fontId="5" fillId="0" borderId="75" xfId="1496" applyNumberFormat="1" applyFont="1" applyFill="1" applyBorder="1" applyAlignment="1" applyProtection="1">
      <alignment horizontal="center" vertical="center" wrapText="1"/>
      <protection hidden="1"/>
    </xf>
    <xf numFmtId="174" fontId="5" fillId="0" borderId="76" xfId="1496" applyNumberFormat="1" applyFont="1" applyFill="1" applyBorder="1" applyAlignment="1" applyProtection="1">
      <alignment horizontal="center" vertical="center" wrapText="1"/>
      <protection hidden="1"/>
    </xf>
    <xf numFmtId="174" fontId="5" fillId="0" borderId="78" xfId="1496"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78" fontId="12" fillId="50" borderId="74" xfId="1250" applyNumberFormat="1" applyFont="1" applyFill="1" applyBorder="1" applyAlignment="1" applyProtection="1">
      <alignment horizontal="center" vertical="center" wrapText="1"/>
      <protection locked="0" hidden="1"/>
    </xf>
    <xf numFmtId="178" fontId="12" fillId="50" borderId="35" xfId="1250" applyNumberFormat="1" applyFont="1" applyFill="1" applyBorder="1" applyAlignment="1" applyProtection="1">
      <alignment horizontal="center" vertical="center" wrapText="1"/>
      <protection locked="0" hidden="1"/>
    </xf>
    <xf numFmtId="178" fontId="12" fillId="50" borderId="19" xfId="1250" applyNumberFormat="1" applyFont="1" applyFill="1" applyBorder="1" applyAlignment="1" applyProtection="1">
      <alignment horizontal="center" vertical="center" wrapText="1"/>
      <protection locked="0" hidden="1"/>
    </xf>
    <xf numFmtId="167" fontId="9" fillId="50" borderId="74" xfId="1250" applyFont="1" applyFill="1" applyBorder="1" applyAlignment="1" applyProtection="1">
      <alignment horizontal="center" vertical="center" wrapText="1"/>
      <protection locked="0" hidden="1"/>
    </xf>
    <xf numFmtId="167" fontId="9" fillId="50" borderId="35" xfId="1250" applyFont="1" applyFill="1" applyBorder="1" applyAlignment="1" applyProtection="1">
      <alignment horizontal="center" vertical="center" wrapText="1"/>
      <protection locked="0" hidden="1"/>
    </xf>
    <xf numFmtId="167" fontId="9" fillId="50" borderId="19" xfId="1250" applyFont="1" applyFill="1" applyBorder="1" applyAlignment="1" applyProtection="1">
      <alignment horizontal="center"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70" fillId="50" borderId="198" xfId="1371" applyFont="1" applyFill="1" applyBorder="1" applyAlignment="1" applyProtection="1">
      <alignment horizontal="justify" vertical="center" wrapText="1"/>
      <protection locked="0" hidden="1"/>
    </xf>
    <xf numFmtId="0" fontId="70" fillId="50" borderId="192" xfId="1371" applyFont="1" applyFill="1" applyBorder="1" applyAlignment="1" applyProtection="1">
      <alignment horizontal="justify" vertical="center" wrapText="1"/>
      <protection locked="0" hidden="1"/>
    </xf>
    <xf numFmtId="0" fontId="70" fillId="50" borderId="193" xfId="1371" applyFont="1" applyFill="1" applyBorder="1" applyAlignment="1" applyProtection="1">
      <alignment horizontal="justify" vertical="center" wrapText="1"/>
      <protection locked="0" hidden="1"/>
    </xf>
    <xf numFmtId="0" fontId="5" fillId="50" borderId="198" xfId="1371" applyFont="1" applyFill="1" applyBorder="1" applyAlignment="1" applyProtection="1">
      <alignment horizontal="justify" vertical="center" wrapText="1"/>
      <protection locked="0" hidden="1"/>
    </xf>
    <xf numFmtId="0" fontId="5" fillId="50" borderId="192" xfId="1371" applyFont="1" applyFill="1" applyBorder="1" applyAlignment="1" applyProtection="1">
      <alignment horizontal="justify" vertical="center" wrapText="1"/>
      <protection locked="0" hidden="1"/>
    </xf>
    <xf numFmtId="0" fontId="5" fillId="50" borderId="193"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4" fillId="0" borderId="75" xfId="1371" applyFont="1" applyFill="1" applyBorder="1" applyAlignment="1" applyProtection="1">
      <alignment horizontal="justify" vertical="center" wrapText="1"/>
      <protection locked="0" hidden="1"/>
    </xf>
    <xf numFmtId="0" fontId="54" fillId="0" borderId="76" xfId="1371" applyFont="1" applyFill="1" applyBorder="1" applyAlignment="1" applyProtection="1">
      <alignment horizontal="justify" vertical="center" wrapText="1"/>
      <protection locked="0" hidden="1"/>
    </xf>
    <xf numFmtId="0" fontId="54" fillId="0" borderId="78"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center" vertical="center" wrapText="1"/>
      <protection locked="0" hidden="1"/>
    </xf>
    <xf numFmtId="0" fontId="70" fillId="50" borderId="192" xfId="1371" applyFont="1" applyFill="1" applyBorder="1" applyAlignment="1" applyProtection="1">
      <alignment horizontal="center" vertical="center" wrapText="1"/>
      <protection locked="0" hidden="1"/>
    </xf>
    <xf numFmtId="0" fontId="70" fillId="50" borderId="193" xfId="1371" applyFont="1" applyFill="1" applyBorder="1" applyAlignment="1" applyProtection="1">
      <alignment horizontal="center"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7" fillId="0" borderId="71" xfId="0" applyFont="1" applyBorder="1" applyAlignment="1" applyProtection="1">
      <alignment horizontal="center" vertical="center" wrapText="1"/>
      <protection locked="0"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5" fontId="5" fillId="24" borderId="75" xfId="1250" applyNumberFormat="1" applyFont="1" applyFill="1" applyBorder="1" applyAlignment="1" applyProtection="1">
      <alignment horizontal="center" vertical="center" wrapText="1"/>
      <protection hidden="1"/>
    </xf>
    <xf numFmtId="175" fontId="5" fillId="24" borderId="76" xfId="1250" applyNumberFormat="1" applyFont="1" applyFill="1" applyBorder="1" applyAlignment="1" applyProtection="1">
      <alignment horizontal="center" vertical="center" wrapText="1"/>
      <protection hidden="1"/>
    </xf>
    <xf numFmtId="175"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198" xfId="1371" applyFont="1" applyBorder="1" applyAlignment="1" applyProtection="1">
      <alignment horizontal="center" vertical="center" wrapText="1"/>
      <protection locked="0"/>
    </xf>
    <xf numFmtId="0" fontId="12" fillId="0" borderId="192" xfId="1371" applyFont="1" applyBorder="1" applyAlignment="1" applyProtection="1">
      <alignment horizontal="center" vertical="center" wrapText="1"/>
      <protection locked="0"/>
    </xf>
    <xf numFmtId="0" fontId="12" fillId="0" borderId="193" xfId="1371" applyFont="1" applyBorder="1" applyAlignment="1" applyProtection="1">
      <alignment horizontal="center" vertical="center" wrapText="1"/>
      <protection locked="0"/>
    </xf>
    <xf numFmtId="0" fontId="12" fillId="0" borderId="34" xfId="1371" applyFont="1" applyBorder="1" applyAlignment="1" applyProtection="1">
      <alignment horizontal="center" vertical="center" wrapText="1"/>
      <protection locked="0"/>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0" fontId="54" fillId="0" borderId="198" xfId="1371" applyFont="1" applyBorder="1" applyAlignment="1" applyProtection="1">
      <alignment horizontal="justify" vertical="center" wrapText="1"/>
      <protection locked="0"/>
    </xf>
    <xf numFmtId="0" fontId="54" fillId="0" borderId="192" xfId="1371" applyFont="1" applyBorder="1" applyAlignment="1" applyProtection="1">
      <alignment horizontal="justify" vertical="center" wrapText="1"/>
      <protection locked="0"/>
    </xf>
    <xf numFmtId="0" fontId="54" fillId="0" borderId="34" xfId="1371" applyFont="1" applyBorder="1" applyAlignment="1" applyProtection="1">
      <alignment horizontal="justify" vertical="center" wrapText="1"/>
      <protection locked="0"/>
    </xf>
    <xf numFmtId="0" fontId="51" fillId="0" borderId="198" xfId="1371" applyFont="1" applyBorder="1" applyAlignment="1" applyProtection="1">
      <alignment horizontal="justify" vertical="center" wrapText="1"/>
      <protection locked="0"/>
    </xf>
    <xf numFmtId="0" fontId="51" fillId="0" borderId="192"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198" xfId="1371" applyFont="1" applyBorder="1" applyAlignment="1" applyProtection="1">
      <alignment horizontal="justify" vertical="center" wrapText="1"/>
      <protection locked="0"/>
    </xf>
    <xf numFmtId="0" fontId="9" fillId="0" borderId="192" xfId="1371" applyFont="1" applyBorder="1" applyAlignment="1" applyProtection="1">
      <alignment horizontal="justify" vertical="center" wrapText="1"/>
      <protection locked="0"/>
    </xf>
    <xf numFmtId="0" fontId="9" fillId="0" borderId="193" xfId="1371" applyFont="1" applyBorder="1" applyAlignment="1" applyProtection="1">
      <alignment horizontal="justify" vertical="center" wrapText="1"/>
      <protection locked="0"/>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14" fontId="9" fillId="0" borderId="75" xfId="1371" applyNumberFormat="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0" fontId="9" fillId="0" borderId="75"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7" fontId="4" fillId="50" borderId="80" xfId="1250" applyFont="1" applyFill="1" applyBorder="1" applyAlignment="1" applyProtection="1">
      <alignment horizontal="center" vertical="center" wrapText="1"/>
      <protection locked="0" hidden="1"/>
    </xf>
    <xf numFmtId="167" fontId="4" fillId="50" borderId="63" xfId="1250" applyFont="1" applyFill="1" applyBorder="1" applyAlignment="1" applyProtection="1">
      <alignment horizontal="center" vertical="center" wrapText="1"/>
      <protection locked="0" hidden="1"/>
    </xf>
    <xf numFmtId="167" fontId="4" fillId="50" borderId="64" xfId="1250" applyFont="1" applyFill="1" applyBorder="1" applyAlignment="1" applyProtection="1">
      <alignment horizontal="center" vertical="center" wrapText="1"/>
      <protection locked="0" hidden="1"/>
    </xf>
    <xf numFmtId="0" fontId="9" fillId="0" borderId="198" xfId="1371" applyFont="1" applyBorder="1" applyAlignment="1" applyProtection="1">
      <alignment horizontal="center" vertical="center" wrapText="1"/>
      <protection locked="0" hidden="1"/>
    </xf>
    <xf numFmtId="0" fontId="9" fillId="0" borderId="192" xfId="1371" applyFont="1" applyBorder="1" applyAlignment="1" applyProtection="1">
      <alignment horizontal="center" vertical="center" wrapText="1"/>
      <protection locked="0" hidden="1"/>
    </xf>
    <xf numFmtId="0" fontId="9" fillId="0" borderId="193" xfId="1371" applyFont="1" applyBorder="1" applyAlignment="1" applyProtection="1">
      <alignment horizontal="center" vertical="center" wrapText="1"/>
      <protection locked="0"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59" fillId="0" borderId="198" xfId="1371" applyFont="1" applyBorder="1" applyAlignment="1" applyProtection="1">
      <alignment horizontal="center" vertical="center" wrapText="1"/>
      <protection locked="0" hidden="1"/>
    </xf>
    <xf numFmtId="0" fontId="59" fillId="0" borderId="192" xfId="1371" applyFont="1" applyBorder="1" applyAlignment="1" applyProtection="1">
      <alignment horizontal="center" vertical="center" wrapText="1"/>
      <protection locked="0" hidden="1"/>
    </xf>
    <xf numFmtId="0" fontId="59" fillId="0" borderId="193" xfId="1371" applyFont="1" applyBorder="1" applyAlignment="1" applyProtection="1">
      <alignment horizontal="center" vertical="center" wrapText="1"/>
      <protection locked="0" hidden="1"/>
    </xf>
    <xf numFmtId="0" fontId="12" fillId="0" borderId="198" xfId="1371" applyFont="1" applyBorder="1" applyAlignment="1" applyProtection="1">
      <alignment horizontal="center" vertical="center" wrapText="1"/>
      <protection locked="0" hidden="1"/>
    </xf>
    <xf numFmtId="0" fontId="12" fillId="0" borderId="192" xfId="1371" applyFont="1" applyBorder="1" applyAlignment="1" applyProtection="1">
      <alignment horizontal="center" vertical="center" wrapText="1"/>
      <protection locked="0" hidden="1"/>
    </xf>
    <xf numFmtId="0" fontId="12" fillId="0" borderId="193" xfId="1371" applyFont="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51" fillId="50" borderId="128" xfId="1371" applyFont="1" applyFill="1" applyBorder="1" applyAlignment="1" applyProtection="1">
      <alignment horizontal="justify"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167" fontId="12" fillId="50" borderId="74" xfId="1250" applyNumberFormat="1" applyFont="1" applyFill="1" applyBorder="1" applyAlignment="1" applyProtection="1">
      <alignment horizontal="center" vertical="center" wrapText="1"/>
      <protection locked="0" hidden="1"/>
    </xf>
    <xf numFmtId="167" fontId="12" fillId="50" borderId="35" xfId="1250" applyNumberFormat="1" applyFont="1" applyFill="1" applyBorder="1" applyAlignment="1" applyProtection="1">
      <alignment horizontal="center" vertical="center" wrapText="1"/>
      <protection locked="0" hidden="1"/>
    </xf>
    <xf numFmtId="167" fontId="12" fillId="50" borderId="19" xfId="1250" applyNumberFormat="1" applyFont="1" applyFill="1" applyBorder="1" applyAlignment="1" applyProtection="1">
      <alignment horizontal="center" vertical="center" wrapText="1"/>
      <protection locked="0" hidden="1"/>
    </xf>
    <xf numFmtId="167" fontId="12" fillId="50" borderId="80" xfId="1250" applyFont="1" applyFill="1" applyBorder="1" applyAlignment="1" applyProtection="1">
      <alignment horizontal="center" vertical="center" wrapText="1"/>
      <protection locked="0" hidden="1"/>
    </xf>
    <xf numFmtId="167" fontId="12" fillId="50" borderId="63" xfId="1250" applyFont="1" applyFill="1" applyBorder="1" applyAlignment="1" applyProtection="1">
      <alignment horizontal="center" vertical="center" wrapText="1"/>
      <protection locked="0" hidden="1"/>
    </xf>
    <xf numFmtId="167" fontId="12" fillId="50" borderId="64" xfId="1250" applyFont="1" applyFill="1" applyBorder="1" applyAlignment="1" applyProtection="1">
      <alignment horizontal="center" vertical="center" wrapText="1"/>
      <protection locked="0" hidden="1"/>
    </xf>
    <xf numFmtId="167" fontId="9" fillId="50" borderId="80" xfId="1250" applyFont="1" applyFill="1" applyBorder="1" applyAlignment="1" applyProtection="1">
      <alignment horizontal="center" vertical="center" wrapText="1"/>
      <protection locked="0" hidden="1"/>
    </xf>
    <xf numFmtId="167" fontId="9" fillId="50" borderId="63" xfId="1250" applyFont="1" applyFill="1" applyBorder="1" applyAlignment="1" applyProtection="1">
      <alignment horizontal="center" vertical="center" wrapText="1"/>
      <protection locked="0" hidden="1"/>
    </xf>
    <xf numFmtId="167" fontId="9" fillId="50" borderId="64" xfId="1250" applyFont="1" applyFill="1" applyBorder="1" applyAlignment="1" applyProtection="1">
      <alignment horizontal="center" vertical="center" wrapText="1"/>
      <protection locked="0" hidden="1"/>
    </xf>
    <xf numFmtId="0" fontId="70" fillId="50" borderId="198" xfId="1371" applyFont="1" applyFill="1" applyBorder="1" applyAlignment="1" applyProtection="1">
      <alignment horizontal="left" vertical="center" wrapText="1"/>
      <protection locked="0"/>
    </xf>
    <xf numFmtId="0" fontId="70" fillId="50" borderId="192" xfId="1371" applyFont="1" applyFill="1" applyBorder="1" applyAlignment="1" applyProtection="1">
      <alignment horizontal="left" vertical="center" wrapText="1"/>
      <protection locked="0"/>
    </xf>
    <xf numFmtId="0" fontId="70" fillId="50" borderId="193" xfId="1371" applyFont="1" applyFill="1" applyBorder="1" applyAlignment="1" applyProtection="1">
      <alignment horizontal="left"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0" fontId="51" fillId="50" borderId="198" xfId="1371" applyFont="1" applyFill="1" applyBorder="1" applyAlignment="1" applyProtection="1">
      <alignment horizontal="justify" vertical="center" wrapText="1"/>
      <protection locked="0" hidden="1"/>
    </xf>
    <xf numFmtId="0" fontId="51" fillId="50" borderId="192" xfId="1371" applyFont="1" applyFill="1" applyBorder="1" applyAlignment="1" applyProtection="1">
      <alignment horizontal="justify" vertical="center" wrapText="1"/>
      <protection locked="0" hidden="1"/>
    </xf>
    <xf numFmtId="0" fontId="51" fillId="50" borderId="193" xfId="1371" applyFont="1" applyFill="1" applyBorder="1" applyAlignment="1" applyProtection="1">
      <alignment horizontal="justify" vertical="center" wrapText="1"/>
      <protection locked="0" hidden="1"/>
    </xf>
    <xf numFmtId="0" fontId="54" fillId="50" borderId="198" xfId="1371" applyFont="1" applyFill="1" applyBorder="1" applyAlignment="1" applyProtection="1">
      <alignment horizontal="justify" vertical="center" wrapText="1"/>
      <protection locked="0"/>
    </xf>
    <xf numFmtId="0" fontId="54" fillId="50" borderId="192" xfId="1371" applyFont="1" applyFill="1" applyBorder="1" applyAlignment="1" applyProtection="1">
      <alignment horizontal="justify" vertical="center" wrapText="1"/>
      <protection locked="0"/>
    </xf>
    <xf numFmtId="0" fontId="54" fillId="50" borderId="34" xfId="1371" applyFont="1" applyFill="1" applyBorder="1" applyAlignment="1" applyProtection="1">
      <alignment horizontal="justify" vertical="center" wrapText="1"/>
      <protection locked="0"/>
    </xf>
    <xf numFmtId="167" fontId="9" fillId="50" borderId="74" xfId="1250" applyNumberFormat="1" applyFont="1" applyFill="1" applyBorder="1" applyAlignment="1" applyProtection="1">
      <alignment horizontal="center" vertical="center" wrapText="1"/>
      <protection locked="0" hidden="1"/>
    </xf>
    <xf numFmtId="167" fontId="9" fillId="50" borderId="35" xfId="1250" applyNumberFormat="1" applyFont="1" applyFill="1" applyBorder="1" applyAlignment="1" applyProtection="1">
      <alignment horizontal="center" vertical="center" wrapText="1"/>
      <protection locked="0" hidden="1"/>
    </xf>
    <xf numFmtId="167" fontId="9" fillId="50" borderId="19" xfId="1250" applyNumberFormat="1" applyFont="1" applyFill="1" applyBorder="1" applyAlignment="1" applyProtection="1">
      <alignment horizontal="center" vertical="center" wrapText="1"/>
      <protection locked="0" hidden="1"/>
    </xf>
    <xf numFmtId="9" fontId="4" fillId="50" borderId="74" xfId="1495" applyNumberFormat="1" applyFont="1" applyFill="1" applyBorder="1" applyAlignment="1" applyProtection="1">
      <alignment horizontal="center" vertical="center" wrapText="1"/>
      <protection locked="0" hidden="1"/>
    </xf>
    <xf numFmtId="9" fontId="4" fillId="50" borderId="35" xfId="1495" applyNumberFormat="1" applyFont="1" applyFill="1" applyBorder="1" applyAlignment="1" applyProtection="1">
      <alignment horizontal="center" vertical="center" wrapText="1"/>
      <protection locked="0" hidden="1"/>
    </xf>
    <xf numFmtId="9" fontId="4" fillId="50" borderId="19" xfId="1495" applyNumberFormat="1" applyFont="1" applyFill="1" applyBorder="1" applyAlignment="1" applyProtection="1">
      <alignment horizontal="center" vertical="center" wrapText="1"/>
      <protection locked="0" hidden="1"/>
    </xf>
    <xf numFmtId="0" fontId="59" fillId="50" borderId="198" xfId="1371" applyFont="1" applyFill="1" applyBorder="1" applyAlignment="1" applyProtection="1">
      <alignment horizontal="justify" vertical="top" wrapText="1"/>
      <protection locked="0" hidden="1"/>
    </xf>
    <xf numFmtId="0" fontId="59" fillId="50" borderId="192" xfId="1371" applyFont="1" applyFill="1" applyBorder="1" applyAlignment="1" applyProtection="1">
      <alignment horizontal="justify" vertical="top" wrapText="1"/>
      <protection locked="0" hidden="1"/>
    </xf>
    <xf numFmtId="0" fontId="59" fillId="50" borderId="193" xfId="1371" applyFont="1" applyFill="1" applyBorder="1" applyAlignment="1" applyProtection="1">
      <alignment horizontal="justify" vertical="top" wrapText="1"/>
      <protection locked="0" hidden="1"/>
    </xf>
    <xf numFmtId="0" fontId="54" fillId="50" borderId="198" xfId="1371" applyFont="1" applyFill="1" applyBorder="1" applyAlignment="1" applyProtection="1">
      <alignment horizontal="justify" vertical="center" wrapText="1"/>
      <protection locked="0" hidden="1"/>
    </xf>
    <xf numFmtId="0" fontId="54" fillId="50" borderId="192" xfId="1371" applyFont="1" applyFill="1" applyBorder="1" applyAlignment="1" applyProtection="1">
      <alignment horizontal="justify" vertical="center" wrapText="1"/>
      <protection locked="0" hidden="1"/>
    </xf>
    <xf numFmtId="0" fontId="54" fillId="50" borderId="193" xfId="1371" applyFont="1" applyFill="1" applyBorder="1" applyAlignment="1" applyProtection="1">
      <alignment horizontal="justify" vertical="center" wrapText="1"/>
      <protection locked="0" hidden="1"/>
    </xf>
    <xf numFmtId="0" fontId="59" fillId="50" borderId="198" xfId="1371" applyFont="1" applyFill="1" applyBorder="1" applyAlignment="1" applyProtection="1">
      <alignment horizontal="justify" vertical="center" wrapText="1"/>
      <protection locked="0" hidden="1"/>
    </xf>
    <xf numFmtId="0" fontId="59" fillId="50" borderId="192" xfId="1371" applyFont="1" applyFill="1" applyBorder="1" applyAlignment="1" applyProtection="1">
      <alignment horizontal="justify" vertical="center" wrapText="1"/>
      <protection locked="0" hidden="1"/>
    </xf>
    <xf numFmtId="0" fontId="59" fillId="50" borderId="193" xfId="1371" applyFont="1" applyFill="1" applyBorder="1" applyAlignment="1" applyProtection="1">
      <alignment horizontal="justify" vertical="center" wrapText="1"/>
      <protection locked="0" hidden="1"/>
    </xf>
    <xf numFmtId="0" fontId="54" fillId="0" borderId="198" xfId="1371" applyFont="1" applyBorder="1" applyAlignment="1" applyProtection="1">
      <alignment horizontal="left" vertical="center" wrapText="1"/>
      <protection locked="0" hidden="1"/>
    </xf>
    <xf numFmtId="0" fontId="54" fillId="0" borderId="192" xfId="1371" applyFont="1" applyBorder="1" applyAlignment="1" applyProtection="1">
      <alignment horizontal="left" vertical="center" wrapText="1"/>
      <protection locked="0" hidden="1"/>
    </xf>
    <xf numFmtId="0" fontId="54" fillId="0" borderId="193" xfId="1371" applyFont="1" applyBorder="1" applyAlignment="1" applyProtection="1">
      <alignment horizontal="left" vertical="center" wrapText="1"/>
      <protection locked="0" hidden="1"/>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3.7499999999999999E-2</c:v>
                </c:pt>
                <c:pt idx="1">
                  <c:v>3.7499999999999999E-2</c:v>
                </c:pt>
                <c:pt idx="2">
                  <c:v>3.8249999999999999E-2</c:v>
                </c:pt>
                <c:pt idx="3">
                  <c:v>3.7139999999999999E-2</c:v>
                </c:pt>
                <c:pt idx="4">
                  <c:v>0</c:v>
                </c:pt>
                <c:pt idx="5">
                  <c:v>0</c:v>
                </c:pt>
                <c:pt idx="6">
                  <c:v>0</c:v>
                </c:pt>
                <c:pt idx="7">
                  <c:v>0</c:v>
                </c:pt>
                <c:pt idx="8">
                  <c:v>0</c:v>
                </c:pt>
                <c:pt idx="9">
                  <c:v>3.3750000000000002E-2</c:v>
                </c:pt>
                <c:pt idx="10">
                  <c:v>7.4819999999999998E-2</c:v>
                </c:pt>
                <c:pt idx="11">
                  <c:v>4.1069999999999995E-2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3.7499999999999999E-2</c:v>
                </c:pt>
                <c:pt idx="1">
                  <c:v>3.7499999999999999E-2</c:v>
                </c:pt>
                <c:pt idx="2">
                  <c:v>2.8140000000000002E-2</c:v>
                </c:pt>
                <c:pt idx="3">
                  <c:v>3.5999999999999997E-2</c:v>
                </c:pt>
                <c:pt idx="4">
                  <c:v>0</c:v>
                </c:pt>
                <c:pt idx="5">
                  <c:v>0</c:v>
                </c:pt>
                <c:pt idx="6">
                  <c:v>0</c:v>
                </c:pt>
                <c:pt idx="7">
                  <c:v>0</c:v>
                </c:pt>
                <c:pt idx="8">
                  <c:v>0</c:v>
                </c:pt>
                <c:pt idx="9">
                  <c:v>1.7999999999999999E-2</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0.125</c:v>
                </c:pt>
                <c:pt idx="1">
                  <c:v>0.25</c:v>
                </c:pt>
                <c:pt idx="2">
                  <c:v>0.34379999999999999</c:v>
                </c:pt>
                <c:pt idx="3">
                  <c:v>0.46379999999999999</c:v>
                </c:pt>
                <c:pt idx="4">
                  <c:v>0.46379999999999999</c:v>
                </c:pt>
                <c:pt idx="5">
                  <c:v>0.46379999999999999</c:v>
                </c:pt>
                <c:pt idx="6">
                  <c:v>0.46379999999999999</c:v>
                </c:pt>
                <c:pt idx="7">
                  <c:v>0.46379999999999999</c:v>
                </c:pt>
                <c:pt idx="8">
                  <c:v>0.46379999999999999</c:v>
                </c:pt>
                <c:pt idx="9">
                  <c:v>0.52380000000000004</c:v>
                </c:pt>
                <c:pt idx="10">
                  <c:v>0.52380000000000004</c:v>
                </c:pt>
                <c:pt idx="11">
                  <c:v>0.52380000000000004</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0.58333100000000004</c:v>
                </c:pt>
                <c:pt idx="7">
                  <c:v>0.66666400000000003</c:v>
                </c:pt>
                <c:pt idx="8">
                  <c:v>0.74999700000000002</c:v>
                </c:pt>
                <c:pt idx="9">
                  <c:v>0.83333000000000002</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1.72E-2</c:v>
                </c:pt>
                <c:pt idx="2">
                  <c:v>1.6E-2</c:v>
                </c:pt>
                <c:pt idx="3">
                  <c:v>3.2640000000000002E-2</c:v>
                </c:pt>
                <c:pt idx="4">
                  <c:v>1.72E-2</c:v>
                </c:pt>
                <c:pt idx="5">
                  <c:v>1.6E-2</c:v>
                </c:pt>
                <c:pt idx="6">
                  <c:v>3.04E-2</c:v>
                </c:pt>
                <c:pt idx="7">
                  <c:v>2.7200000000000002E-2</c:v>
                </c:pt>
                <c:pt idx="8">
                  <c:v>0.13119999999999998</c:v>
                </c:pt>
                <c:pt idx="9">
                  <c:v>2.8800000000000006E-2</c:v>
                </c:pt>
                <c:pt idx="10">
                  <c:v>3.8000000000000006E-2</c:v>
                </c:pt>
                <c:pt idx="11">
                  <c:v>2.0000000000000004E-2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1.72E-2</c:v>
                </c:pt>
                <c:pt idx="2">
                  <c:v>1.6E-2</c:v>
                </c:pt>
                <c:pt idx="3">
                  <c:v>3.0640000000000001E-2</c:v>
                </c:pt>
                <c:pt idx="4">
                  <c:v>1.6800000000000002E-2</c:v>
                </c:pt>
                <c:pt idx="5">
                  <c:v>1.3600000000000001E-2</c:v>
                </c:pt>
                <c:pt idx="6">
                  <c:v>3.9960000000000002E-2</c:v>
                </c:pt>
                <c:pt idx="7">
                  <c:v>2.7200000000000002E-2</c:v>
                </c:pt>
                <c:pt idx="8">
                  <c:v>0.13260000000000002</c:v>
                </c:pt>
                <c:pt idx="9">
                  <c:v>1.8160000000000003E-2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c:v>
                </c:pt>
                <c:pt idx="2">
                  <c:v>0.152</c:v>
                </c:pt>
                <c:pt idx="3">
                  <c:v>0.2286</c:v>
                </c:pt>
                <c:pt idx="4">
                  <c:v>0.27060000000000001</c:v>
                </c:pt>
                <c:pt idx="5">
                  <c:v>0.30459999999999998</c:v>
                </c:pt>
                <c:pt idx="6">
                  <c:v>0.40449999999999997</c:v>
                </c:pt>
                <c:pt idx="7">
                  <c:v>0.47249999999999998</c:v>
                </c:pt>
                <c:pt idx="8">
                  <c:v>0.80400000000000005</c:v>
                </c:pt>
                <c:pt idx="9">
                  <c:v>0.84940000000000004</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7.4999999999999997E-3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pt idx="6">
                  <c:v>8.1000000000000013E-3</c:v>
                </c:pt>
                <c:pt idx="7">
                  <c:v>3.2099999999999997E-2</c:v>
                </c:pt>
                <c:pt idx="8">
                  <c:v>1.5899999999999997E-2</c:v>
                </c:pt>
                <c:pt idx="9">
                  <c:v>8.1000000000000013E-3</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0.57440000000000013</c:v>
                </c:pt>
                <c:pt idx="7">
                  <c:v>0.68140000000000012</c:v>
                </c:pt>
                <c:pt idx="8">
                  <c:v>0.73440000000000016</c:v>
                </c:pt>
                <c:pt idx="9">
                  <c:v>0.76140000000000019</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0.58250000000000002</c:v>
                </c:pt>
                <c:pt idx="7">
                  <c:v>0.66580000000000006</c:v>
                </c:pt>
                <c:pt idx="8">
                  <c:v>0.74920000000000009</c:v>
                </c:pt>
                <c:pt idx="9">
                  <c:v>0.83260000000000012</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2.6329599999999998E-2</c:v>
                </c:pt>
                <c:pt idx="1">
                  <c:v>1.9392E-2</c:v>
                </c:pt>
                <c:pt idx="2">
                  <c:v>1.9392E-2</c:v>
                </c:pt>
                <c:pt idx="3">
                  <c:v>2.7392000000000003E-2</c:v>
                </c:pt>
                <c:pt idx="4">
                  <c:v>2.8032000000000001E-2</c:v>
                </c:pt>
                <c:pt idx="5">
                  <c:v>2.9920000000000002E-2</c:v>
                </c:pt>
                <c:pt idx="6">
                  <c:v>3.3503999999999999E-2</c:v>
                </c:pt>
                <c:pt idx="7">
                  <c:v>2.0960000000000003E-2</c:v>
                </c:pt>
                <c:pt idx="8">
                  <c:v>2.5680000000000001E-2</c:v>
                </c:pt>
                <c:pt idx="9">
                  <c:v>1.856E-2</c:v>
                </c:pt>
                <c:pt idx="10">
                  <c:v>2.6112000000000003E-2</c:v>
                </c:pt>
                <c:pt idx="11">
                  <c:v>4.4736000000000005E-2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2.6335999999999998E-2</c:v>
                </c:pt>
                <c:pt idx="1">
                  <c:v>1.8463999999999998E-2</c:v>
                </c:pt>
                <c:pt idx="2">
                  <c:v>1.6352000000000002E-2</c:v>
                </c:pt>
                <c:pt idx="3">
                  <c:v>2.3359999999999999E-2</c:v>
                </c:pt>
                <c:pt idx="4">
                  <c:v>3.0304000000000001E-2</c:v>
                </c:pt>
                <c:pt idx="5">
                  <c:v>1.0048000000000001E-2</c:v>
                </c:pt>
                <c:pt idx="6">
                  <c:v>5.7023999999999998E-2</c:v>
                </c:pt>
                <c:pt idx="7">
                  <c:v>2.9344000000000002E-2</c:v>
                </c:pt>
                <c:pt idx="8">
                  <c:v>2.5734399999999998E-2</c:v>
                </c:pt>
                <c:pt idx="9">
                  <c:v>1.856E-2</c:v>
                </c:pt>
                <c:pt idx="10">
                  <c:v>0</c:v>
                </c:pt>
                <c:pt idx="11">
                  <c:v>0</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8.2299999999999998E-2</c:v>
                </c:pt>
                <c:pt idx="1">
                  <c:v>0.13999999999999999</c:v>
                </c:pt>
                <c:pt idx="2">
                  <c:v>0.19109999999999999</c:v>
                </c:pt>
                <c:pt idx="3">
                  <c:v>0.2641</c:v>
                </c:pt>
                <c:pt idx="4">
                  <c:v>0.35880000000000001</c:v>
                </c:pt>
                <c:pt idx="5">
                  <c:v>0.39019999999999999</c:v>
                </c:pt>
                <c:pt idx="6">
                  <c:v>0.56840000000000002</c:v>
                </c:pt>
                <c:pt idx="7">
                  <c:v>0.66010000000000002</c:v>
                </c:pt>
                <c:pt idx="8">
                  <c:v>0.74052000000000007</c:v>
                </c:pt>
                <c:pt idx="9">
                  <c:v>0.79852000000000012</c:v>
                </c:pt>
                <c:pt idx="10">
                  <c:v>0.79852000000000012</c:v>
                </c:pt>
                <c:pt idx="11">
                  <c:v>0.79852000000000012</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1"/>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5.000000000000001E-2"/>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5960256576"/>
          <c:y val="0.2147783603518135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4.3680000000000004E-2</c:v>
                </c:pt>
                <c:pt idx="2">
                  <c:v>4.2720000000000001E-2</c:v>
                </c:pt>
                <c:pt idx="3">
                  <c:v>5.9680000000000004E-2</c:v>
                </c:pt>
                <c:pt idx="4">
                  <c:v>5.2359999999999997E-2</c:v>
                </c:pt>
                <c:pt idx="5">
                  <c:v>3.9960000000000002E-2</c:v>
                </c:pt>
                <c:pt idx="6">
                  <c:v>3.508E-2</c:v>
                </c:pt>
                <c:pt idx="7">
                  <c:v>3.3480000000000003E-2</c:v>
                </c:pt>
                <c:pt idx="8">
                  <c:v>3.3680000000000002E-2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pt idx="6">
                  <c:v>3.508E-2</c:v>
                </c:pt>
                <c:pt idx="7">
                  <c:v>2.7160000000000004E-2</c:v>
                </c:pt>
                <c:pt idx="8">
                  <c:v>3.3680000000000002E-2</c:v>
                </c:pt>
                <c:pt idx="9">
                  <c:v>2.6520000000000002E-2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0.67399999999999993</c:v>
                </c:pt>
                <c:pt idx="7">
                  <c:v>0.74189999999999989</c:v>
                </c:pt>
                <c:pt idx="8">
                  <c:v>0.82609999999999983</c:v>
                </c:pt>
                <c:pt idx="9">
                  <c:v>0.89239999999999986</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B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B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B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C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C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C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C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C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C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C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C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C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C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C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C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C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C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C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C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C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C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C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C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C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C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C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C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06"/>
      <c r="B2" s="306"/>
      <c r="C2" s="303" t="s">
        <v>24</v>
      </c>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33"/>
    </row>
    <row r="3" spans="1:67" s="118" customFormat="1" ht="45.75" customHeight="1" x14ac:dyDescent="0.25">
      <c r="A3" s="306"/>
      <c r="B3" s="306"/>
      <c r="C3" s="303" t="s">
        <v>25</v>
      </c>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34"/>
    </row>
    <row r="4" spans="1:67" s="118" customFormat="1" ht="45.75" customHeight="1" x14ac:dyDescent="0.25">
      <c r="A4" s="306"/>
      <c r="B4" s="306"/>
      <c r="C4" s="303" t="s">
        <v>198</v>
      </c>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34"/>
    </row>
    <row r="5" spans="1:67" s="118" customFormat="1" ht="45.75" customHeight="1" x14ac:dyDescent="0.25">
      <c r="A5" s="306"/>
      <c r="B5" s="306"/>
      <c r="C5" s="313" t="s">
        <v>29</v>
      </c>
      <c r="D5" s="313"/>
      <c r="E5" s="313"/>
      <c r="F5" s="313"/>
      <c r="G5" s="313"/>
      <c r="H5" s="313"/>
      <c r="I5" s="313"/>
      <c r="J5" s="313"/>
      <c r="K5" s="313"/>
      <c r="L5" s="313"/>
      <c r="M5" s="313"/>
      <c r="N5" s="313"/>
      <c r="O5" s="313"/>
      <c r="P5" s="313"/>
      <c r="Q5" s="313"/>
      <c r="R5" s="331" t="s">
        <v>189</v>
      </c>
      <c r="S5" s="331"/>
      <c r="T5" s="331"/>
      <c r="U5" s="331"/>
      <c r="V5" s="331"/>
      <c r="W5" s="331"/>
      <c r="X5" s="331"/>
      <c r="Y5" s="331"/>
      <c r="Z5" s="331"/>
      <c r="AA5" s="331"/>
      <c r="AB5" s="331"/>
      <c r="AC5" s="331"/>
      <c r="AD5" s="331"/>
      <c r="AE5" s="331"/>
      <c r="AF5" s="335"/>
    </row>
    <row r="6" spans="1:67" s="119" customFormat="1" ht="30.75" customHeight="1" x14ac:dyDescent="0.25">
      <c r="D6" s="120"/>
      <c r="K6" s="121"/>
      <c r="AA6" s="122"/>
    </row>
    <row r="7" spans="1:67" s="119" customFormat="1" ht="42" customHeight="1" x14ac:dyDescent="0.25">
      <c r="B7" s="123" t="s">
        <v>32</v>
      </c>
      <c r="C7" s="305" t="e">
        <f>+#REF!</f>
        <v>#REF!</v>
      </c>
      <c r="D7" s="305"/>
      <c r="E7" s="305"/>
      <c r="F7" s="305"/>
      <c r="G7" s="305"/>
      <c r="K7" s="121"/>
      <c r="AA7" s="122"/>
    </row>
    <row r="8" spans="1:67" s="119" customFormat="1" ht="42" customHeight="1" x14ac:dyDescent="0.25">
      <c r="B8" s="123" t="s">
        <v>1</v>
      </c>
      <c r="C8" s="305" t="e">
        <f>+#REF!</f>
        <v>#REF!</v>
      </c>
      <c r="D8" s="305"/>
      <c r="E8" s="305"/>
      <c r="F8" s="305"/>
      <c r="G8" s="305"/>
      <c r="K8" s="121"/>
      <c r="AA8" s="122"/>
    </row>
    <row r="9" spans="1:67" s="119" customFormat="1" ht="42" customHeight="1" x14ac:dyDescent="0.25">
      <c r="B9" s="124" t="s">
        <v>30</v>
      </c>
      <c r="C9" s="305" t="e">
        <f>+#REF!</f>
        <v>#REF!</v>
      </c>
      <c r="D9" s="305"/>
      <c r="E9" s="305"/>
      <c r="F9" s="305"/>
      <c r="G9" s="305"/>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22" t="s">
        <v>373</v>
      </c>
      <c r="B11" s="323"/>
      <c r="C11" s="323"/>
      <c r="D11" s="323"/>
      <c r="E11" s="323"/>
      <c r="F11" s="323"/>
      <c r="G11" s="323"/>
      <c r="H11" s="324"/>
      <c r="I11" s="337" t="s">
        <v>36</v>
      </c>
      <c r="J11" s="338"/>
      <c r="K11" s="338"/>
      <c r="L11" s="338"/>
      <c r="M11" s="338"/>
      <c r="N11" s="339"/>
      <c r="O11" s="332" t="s">
        <v>38</v>
      </c>
      <c r="P11" s="332"/>
      <c r="Q11" s="332"/>
      <c r="R11" s="332"/>
      <c r="S11" s="332"/>
      <c r="T11" s="332"/>
      <c r="U11" s="332"/>
      <c r="V11" s="332"/>
      <c r="W11" s="332"/>
      <c r="X11" s="332"/>
      <c r="Y11" s="332"/>
      <c r="Z11" s="332"/>
      <c r="AA11" s="332"/>
      <c r="AB11" s="332"/>
      <c r="AC11" s="332"/>
      <c r="AD11" s="322" t="s">
        <v>18</v>
      </c>
      <c r="AE11" s="323"/>
      <c r="AF11" s="324"/>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04" t="s">
        <v>154</v>
      </c>
      <c r="B13" s="304" t="s">
        <v>366</v>
      </c>
      <c r="C13" s="304">
        <v>224</v>
      </c>
      <c r="D13" s="304" t="s">
        <v>187</v>
      </c>
      <c r="E13" s="304">
        <v>171</v>
      </c>
      <c r="F13" s="336" t="s">
        <v>175</v>
      </c>
      <c r="G13" s="304" t="s">
        <v>152</v>
      </c>
      <c r="H13" s="304" t="s">
        <v>70</v>
      </c>
      <c r="I13" s="314" t="e">
        <f>SUM(J13:N14)</f>
        <v>#REF!</v>
      </c>
      <c r="J13" s="311" t="e">
        <f>+#REF!</f>
        <v>#REF!</v>
      </c>
      <c r="K13" s="340" t="e">
        <f>+#REF!</f>
        <v>#REF!</v>
      </c>
      <c r="L13" s="309" t="e">
        <f>+#REF!</f>
        <v>#REF!</v>
      </c>
      <c r="M13" s="311" t="e">
        <f>+#REF!</f>
        <v>#REF!</v>
      </c>
      <c r="N13" s="311" t="e">
        <f>+#REF!</f>
        <v>#REF!</v>
      </c>
      <c r="O13" s="315" t="e">
        <f>+#REF!</f>
        <v>#REF!</v>
      </c>
      <c r="P13" s="315">
        <v>6.45</v>
      </c>
      <c r="Q13" s="315">
        <v>31.03</v>
      </c>
      <c r="R13" s="315"/>
      <c r="S13" s="315" t="e">
        <f>+#REF!</f>
        <v>#REF!</v>
      </c>
      <c r="T13" s="315" t="e">
        <f>+#REF!</f>
        <v>#REF!</v>
      </c>
      <c r="U13" s="315" t="e">
        <f>+#REF!</f>
        <v>#REF!</v>
      </c>
      <c r="V13" s="315" t="e">
        <f>+#REF!</f>
        <v>#REF!</v>
      </c>
      <c r="W13" s="315" t="e">
        <f>+#REF!</f>
        <v>#REF!</v>
      </c>
      <c r="X13" s="315" t="e">
        <f>+#REF!</f>
        <v>#REF!</v>
      </c>
      <c r="Y13" s="315" t="e">
        <f>+#REF!</f>
        <v>#REF!</v>
      </c>
      <c r="Z13" s="315" t="e">
        <f>+#REF!</f>
        <v>#REF!</v>
      </c>
      <c r="AA13" s="320" t="e">
        <f>SUM(O13:Z14)</f>
        <v>#REF!</v>
      </c>
      <c r="AB13" s="317" t="e">
        <f>+AA13/K13</f>
        <v>#REF!</v>
      </c>
      <c r="AC13" s="317" t="e">
        <f>+(J13+AA13)/I13</f>
        <v>#REF!</v>
      </c>
      <c r="AD13" s="318" t="s">
        <v>219</v>
      </c>
      <c r="AE13" s="307" t="s">
        <v>223</v>
      </c>
      <c r="AF13" s="318"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04"/>
      <c r="B14" s="304"/>
      <c r="C14" s="304"/>
      <c r="D14" s="304"/>
      <c r="E14" s="304"/>
      <c r="F14" s="336"/>
      <c r="G14" s="304"/>
      <c r="H14" s="304"/>
      <c r="I14" s="314"/>
      <c r="J14" s="312"/>
      <c r="K14" s="341"/>
      <c r="L14" s="310"/>
      <c r="M14" s="312"/>
      <c r="N14" s="312"/>
      <c r="O14" s="316"/>
      <c r="P14" s="316"/>
      <c r="Q14" s="316"/>
      <c r="R14" s="316"/>
      <c r="S14" s="316"/>
      <c r="T14" s="316"/>
      <c r="U14" s="316"/>
      <c r="V14" s="316"/>
      <c r="W14" s="316"/>
      <c r="X14" s="316"/>
      <c r="Y14" s="316"/>
      <c r="Z14" s="316"/>
      <c r="AA14" s="321"/>
      <c r="AB14" s="317"/>
      <c r="AC14" s="317"/>
      <c r="AD14" s="319"/>
      <c r="AE14" s="308"/>
      <c r="AF14" s="319"/>
    </row>
    <row r="15" spans="1:67" ht="89.25" customHeight="1" x14ac:dyDescent="0.25">
      <c r="A15" s="304" t="s">
        <v>154</v>
      </c>
      <c r="B15" s="304" t="s">
        <v>367</v>
      </c>
      <c r="C15" s="304">
        <v>223</v>
      </c>
      <c r="D15" s="304" t="s">
        <v>188</v>
      </c>
      <c r="E15" s="304">
        <v>170</v>
      </c>
      <c r="F15" s="336" t="s">
        <v>174</v>
      </c>
      <c r="G15" s="304" t="s">
        <v>152</v>
      </c>
      <c r="H15" s="304" t="s">
        <v>70</v>
      </c>
      <c r="I15" s="314" t="e">
        <f>SUM(J15:N16)</f>
        <v>#REF!</v>
      </c>
      <c r="J15" s="329" t="e">
        <f>+#REF!</f>
        <v>#REF!</v>
      </c>
      <c r="K15" s="325" t="e">
        <f>+#REF!</f>
        <v>#REF!</v>
      </c>
      <c r="L15" s="327" t="e">
        <f>+#REF!</f>
        <v>#REF!</v>
      </c>
      <c r="M15" s="329" t="e">
        <f>+#REF!</f>
        <v>#REF!</v>
      </c>
      <c r="N15" s="329" t="e">
        <f>+#REF!</f>
        <v>#REF!</v>
      </c>
      <c r="O15" s="315">
        <v>53</v>
      </c>
      <c r="P15" s="315">
        <v>712</v>
      </c>
      <c r="Q15" s="315">
        <v>881</v>
      </c>
      <c r="R15" s="315"/>
      <c r="S15" s="315" t="e">
        <f>+#REF!</f>
        <v>#REF!</v>
      </c>
      <c r="T15" s="315" t="e">
        <f>+#REF!</f>
        <v>#REF!</v>
      </c>
      <c r="U15" s="315" t="e">
        <f>+#REF!</f>
        <v>#REF!</v>
      </c>
      <c r="V15" s="315" t="e">
        <f>+#REF!</f>
        <v>#REF!</v>
      </c>
      <c r="W15" s="315" t="e">
        <f>+#REF!</f>
        <v>#REF!</v>
      </c>
      <c r="X15" s="315" t="e">
        <f>+#REF!</f>
        <v>#REF!</v>
      </c>
      <c r="Y15" s="315" t="e">
        <f>+#REF!</f>
        <v>#REF!</v>
      </c>
      <c r="Z15" s="315" t="e">
        <f>+#REF!</f>
        <v>#REF!</v>
      </c>
      <c r="AA15" s="320" t="e">
        <f>SUM(O15:Z16)</f>
        <v>#REF!</v>
      </c>
      <c r="AB15" s="317" t="e">
        <f>+AA15/K15</f>
        <v>#REF!</v>
      </c>
      <c r="AC15" s="317" t="e">
        <f>+(J15+AA15)/I15</f>
        <v>#REF!</v>
      </c>
      <c r="AD15" s="318" t="s">
        <v>221</v>
      </c>
      <c r="AE15" s="307" t="s">
        <v>223</v>
      </c>
      <c r="AF15" s="318" t="s">
        <v>222</v>
      </c>
    </row>
    <row r="16" spans="1:67" ht="140.25" customHeight="1" x14ac:dyDescent="0.25">
      <c r="A16" s="304"/>
      <c r="B16" s="304"/>
      <c r="C16" s="304"/>
      <c r="D16" s="304"/>
      <c r="E16" s="304"/>
      <c r="F16" s="336"/>
      <c r="G16" s="304"/>
      <c r="H16" s="304"/>
      <c r="I16" s="314"/>
      <c r="J16" s="330"/>
      <c r="K16" s="326"/>
      <c r="L16" s="328"/>
      <c r="M16" s="330"/>
      <c r="N16" s="330"/>
      <c r="O16" s="316"/>
      <c r="P16" s="316"/>
      <c r="Q16" s="316"/>
      <c r="R16" s="316"/>
      <c r="S16" s="316"/>
      <c r="T16" s="316"/>
      <c r="U16" s="316"/>
      <c r="V16" s="316"/>
      <c r="W16" s="316"/>
      <c r="X16" s="316"/>
      <c r="Y16" s="316"/>
      <c r="Z16" s="316"/>
      <c r="AA16" s="321"/>
      <c r="AB16" s="317"/>
      <c r="AC16" s="317"/>
      <c r="AD16" s="319"/>
      <c r="AE16" s="308"/>
      <c r="AF16" s="319"/>
    </row>
    <row r="17" spans="1:32" ht="62.25" customHeight="1" x14ac:dyDescent="0.25">
      <c r="A17" s="304" t="s">
        <v>154</v>
      </c>
      <c r="B17" s="360" t="s">
        <v>368</v>
      </c>
      <c r="C17" s="304">
        <v>231</v>
      </c>
      <c r="D17" s="304" t="s">
        <v>176</v>
      </c>
      <c r="E17" s="304">
        <v>178</v>
      </c>
      <c r="F17" s="336" t="s">
        <v>177</v>
      </c>
      <c r="G17" s="304" t="s">
        <v>151</v>
      </c>
      <c r="H17" s="304" t="s">
        <v>70</v>
      </c>
      <c r="I17" s="342">
        <f>SUM(J17:N18)</f>
        <v>1</v>
      </c>
      <c r="J17" s="371">
        <v>0.05</v>
      </c>
      <c r="K17" s="358">
        <v>0.28999999999999998</v>
      </c>
      <c r="L17" s="361">
        <v>0.25</v>
      </c>
      <c r="M17" s="358">
        <v>0.4</v>
      </c>
      <c r="N17" s="358">
        <v>0.01</v>
      </c>
      <c r="O17" s="363">
        <v>0.19</v>
      </c>
      <c r="P17" s="364"/>
      <c r="Q17" s="364"/>
      <c r="R17" s="367">
        <v>0</v>
      </c>
      <c r="S17" s="368"/>
      <c r="T17" s="368"/>
      <c r="U17" s="346">
        <v>0</v>
      </c>
      <c r="V17" s="347"/>
      <c r="W17" s="347"/>
      <c r="X17" s="346">
        <v>0</v>
      </c>
      <c r="Y17" s="347"/>
      <c r="Z17" s="347"/>
      <c r="AA17" s="350">
        <f>+R17+O17+U17+X17</f>
        <v>0.19</v>
      </c>
      <c r="AB17" s="317">
        <f>+AA17/K17</f>
        <v>0.65517241379310354</v>
      </c>
      <c r="AC17" s="317">
        <f>+(J17+AA17)/I17</f>
        <v>0.24</v>
      </c>
      <c r="AD17" s="344" t="s">
        <v>224</v>
      </c>
      <c r="AE17" s="307" t="s">
        <v>223</v>
      </c>
      <c r="AF17" s="344" t="s">
        <v>225</v>
      </c>
    </row>
    <row r="18" spans="1:32" ht="200.25" customHeight="1" x14ac:dyDescent="0.25">
      <c r="A18" s="304"/>
      <c r="B18" s="360"/>
      <c r="C18" s="304"/>
      <c r="D18" s="304"/>
      <c r="E18" s="304"/>
      <c r="F18" s="336"/>
      <c r="G18" s="304"/>
      <c r="H18" s="304"/>
      <c r="I18" s="343"/>
      <c r="J18" s="372"/>
      <c r="K18" s="359"/>
      <c r="L18" s="362"/>
      <c r="M18" s="359"/>
      <c r="N18" s="359"/>
      <c r="O18" s="365"/>
      <c r="P18" s="366"/>
      <c r="Q18" s="366"/>
      <c r="R18" s="369"/>
      <c r="S18" s="370"/>
      <c r="T18" s="370"/>
      <c r="U18" s="348"/>
      <c r="V18" s="349"/>
      <c r="W18" s="349"/>
      <c r="X18" s="348"/>
      <c r="Y18" s="349"/>
      <c r="Z18" s="349"/>
      <c r="AA18" s="351"/>
      <c r="AB18" s="317"/>
      <c r="AC18" s="317"/>
      <c r="AD18" s="345"/>
      <c r="AE18" s="308"/>
      <c r="AF18" s="345"/>
    </row>
    <row r="19" spans="1:32" ht="62.25" customHeight="1" x14ac:dyDescent="0.25">
      <c r="A19" s="304" t="s">
        <v>154</v>
      </c>
      <c r="B19" s="360" t="s">
        <v>369</v>
      </c>
      <c r="C19" s="304">
        <v>232</v>
      </c>
      <c r="D19" s="304" t="s">
        <v>178</v>
      </c>
      <c r="E19" s="304">
        <v>179</v>
      </c>
      <c r="F19" s="336" t="s">
        <v>179</v>
      </c>
      <c r="G19" s="304" t="s">
        <v>151</v>
      </c>
      <c r="H19" s="304" t="s">
        <v>70</v>
      </c>
      <c r="I19" s="342">
        <f>SUM(J19:N20)</f>
        <v>1</v>
      </c>
      <c r="J19" s="371">
        <v>0.01</v>
      </c>
      <c r="K19" s="358">
        <v>0.15</v>
      </c>
      <c r="L19" s="361">
        <v>0.42</v>
      </c>
      <c r="M19" s="358">
        <v>0.42</v>
      </c>
      <c r="N19" s="358">
        <v>0</v>
      </c>
      <c r="O19" s="354">
        <v>0.35</v>
      </c>
      <c r="P19" s="355"/>
      <c r="Q19" s="355"/>
      <c r="R19" s="363">
        <v>0</v>
      </c>
      <c r="S19" s="364"/>
      <c r="T19" s="364"/>
      <c r="U19" s="354">
        <v>0</v>
      </c>
      <c r="V19" s="355"/>
      <c r="W19" s="355"/>
      <c r="X19" s="354">
        <v>0</v>
      </c>
      <c r="Y19" s="355"/>
      <c r="Z19" s="355"/>
      <c r="AA19" s="352">
        <f>+R19+O19+U19+X19</f>
        <v>0.35</v>
      </c>
      <c r="AB19" s="317">
        <f>+AA19/K19</f>
        <v>2.3333333333333335</v>
      </c>
      <c r="AC19" s="317">
        <f>+(J19+AA19)/I19</f>
        <v>0.36</v>
      </c>
      <c r="AD19" s="344" t="s">
        <v>227</v>
      </c>
      <c r="AE19" s="307" t="s">
        <v>223</v>
      </c>
      <c r="AF19" s="344" t="s">
        <v>225</v>
      </c>
    </row>
    <row r="20" spans="1:32" ht="298.5" customHeight="1" x14ac:dyDescent="0.25">
      <c r="A20" s="304"/>
      <c r="B20" s="360"/>
      <c r="C20" s="304"/>
      <c r="D20" s="304"/>
      <c r="E20" s="304"/>
      <c r="F20" s="336"/>
      <c r="G20" s="304"/>
      <c r="H20" s="304"/>
      <c r="I20" s="343"/>
      <c r="J20" s="372"/>
      <c r="K20" s="359"/>
      <c r="L20" s="362"/>
      <c r="M20" s="359"/>
      <c r="N20" s="359"/>
      <c r="O20" s="356"/>
      <c r="P20" s="357"/>
      <c r="Q20" s="357"/>
      <c r="R20" s="365"/>
      <c r="S20" s="366"/>
      <c r="T20" s="366"/>
      <c r="U20" s="356"/>
      <c r="V20" s="357"/>
      <c r="W20" s="357"/>
      <c r="X20" s="356"/>
      <c r="Y20" s="357"/>
      <c r="Z20" s="357"/>
      <c r="AA20" s="353"/>
      <c r="AB20" s="317"/>
      <c r="AC20" s="317"/>
      <c r="AD20" s="345"/>
      <c r="AE20" s="308"/>
      <c r="AF20" s="345"/>
    </row>
    <row r="21" spans="1:32" ht="62.25" customHeight="1" x14ac:dyDescent="0.25">
      <c r="A21" s="304" t="s">
        <v>154</v>
      </c>
      <c r="B21" s="360" t="s">
        <v>370</v>
      </c>
      <c r="C21" s="304">
        <v>233</v>
      </c>
      <c r="D21" s="304" t="s">
        <v>180</v>
      </c>
      <c r="E21" s="304">
        <v>180</v>
      </c>
      <c r="F21" s="336" t="s">
        <v>181</v>
      </c>
      <c r="G21" s="304" t="s">
        <v>151</v>
      </c>
      <c r="H21" s="304" t="s">
        <v>70</v>
      </c>
      <c r="I21" s="342">
        <f>SUM(J21:N22)</f>
        <v>1</v>
      </c>
      <c r="J21" s="371">
        <v>0.01</v>
      </c>
      <c r="K21" s="358">
        <v>0.1</v>
      </c>
      <c r="L21" s="361">
        <v>0.3</v>
      </c>
      <c r="M21" s="358">
        <v>0.55000000000000004</v>
      </c>
      <c r="N21" s="358">
        <v>0.04</v>
      </c>
      <c r="O21" s="354">
        <v>4.4999999999999998E-2</v>
      </c>
      <c r="P21" s="355"/>
      <c r="Q21" s="355"/>
      <c r="R21" s="354">
        <v>0</v>
      </c>
      <c r="S21" s="355"/>
      <c r="T21" s="355"/>
      <c r="U21" s="354">
        <v>0</v>
      </c>
      <c r="V21" s="355"/>
      <c r="W21" s="355"/>
      <c r="X21" s="354">
        <v>0</v>
      </c>
      <c r="Y21" s="355"/>
      <c r="Z21" s="355"/>
      <c r="AA21" s="352">
        <f>+R21+O21+U21+X21</f>
        <v>4.4999999999999998E-2</v>
      </c>
      <c r="AB21" s="317">
        <f>+AA21/K21</f>
        <v>0.44999999999999996</v>
      </c>
      <c r="AC21" s="317">
        <f>+(J21+AA21)/I21</f>
        <v>5.5E-2</v>
      </c>
      <c r="AD21" s="344" t="s">
        <v>228</v>
      </c>
      <c r="AE21" s="307" t="s">
        <v>223</v>
      </c>
      <c r="AF21" s="344" t="s">
        <v>225</v>
      </c>
    </row>
    <row r="22" spans="1:32" ht="124.5" customHeight="1" x14ac:dyDescent="0.25">
      <c r="A22" s="304"/>
      <c r="B22" s="360"/>
      <c r="C22" s="304"/>
      <c r="D22" s="304"/>
      <c r="E22" s="304"/>
      <c r="F22" s="336"/>
      <c r="G22" s="304"/>
      <c r="H22" s="304"/>
      <c r="I22" s="343"/>
      <c r="J22" s="372"/>
      <c r="K22" s="359"/>
      <c r="L22" s="362"/>
      <c r="M22" s="359"/>
      <c r="N22" s="359"/>
      <c r="O22" s="356"/>
      <c r="P22" s="357"/>
      <c r="Q22" s="357"/>
      <c r="R22" s="356"/>
      <c r="S22" s="357"/>
      <c r="T22" s="357"/>
      <c r="U22" s="356"/>
      <c r="V22" s="357"/>
      <c r="W22" s="357"/>
      <c r="X22" s="356"/>
      <c r="Y22" s="357"/>
      <c r="Z22" s="357"/>
      <c r="AA22" s="353"/>
      <c r="AB22" s="317"/>
      <c r="AC22" s="317"/>
      <c r="AD22" s="345"/>
      <c r="AE22" s="308"/>
      <c r="AF22" s="345"/>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1"/>
  <sheetViews>
    <sheetView topLeftCell="A23" zoomScale="80" zoomScaleNormal="80" zoomScaleSheetLayoutView="50" zoomScalePageLayoutView="85" workbookViewId="0">
      <selection activeCell="A47" sqref="A47"/>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10"/>
      <c r="C1" s="513" t="s">
        <v>25</v>
      </c>
      <c r="D1" s="513"/>
      <c r="E1" s="513"/>
      <c r="F1" s="513"/>
      <c r="G1" s="513"/>
      <c r="H1" s="513"/>
      <c r="I1" s="514"/>
      <c r="J1" s="170"/>
      <c r="K1" s="170"/>
      <c r="M1" s="172" t="s">
        <v>47</v>
      </c>
    </row>
    <row r="2" spans="2:14" ht="37.5" customHeight="1" x14ac:dyDescent="0.2">
      <c r="B2" s="511"/>
      <c r="C2" s="517" t="s">
        <v>239</v>
      </c>
      <c r="D2" s="517"/>
      <c r="E2" s="517"/>
      <c r="F2" s="517"/>
      <c r="G2" s="517"/>
      <c r="H2" s="517"/>
      <c r="I2" s="515"/>
      <c r="J2" s="170"/>
      <c r="K2" s="170"/>
      <c r="M2" s="172" t="s">
        <v>48</v>
      </c>
    </row>
    <row r="3" spans="2:14" ht="37.5" customHeight="1" thickBot="1" x14ac:dyDescent="0.25">
      <c r="B3" s="512"/>
      <c r="C3" s="518" t="s">
        <v>240</v>
      </c>
      <c r="D3" s="518"/>
      <c r="E3" s="518"/>
      <c r="F3" s="518" t="s">
        <v>241</v>
      </c>
      <c r="G3" s="518"/>
      <c r="H3" s="518"/>
      <c r="I3" s="516"/>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46.15" customHeight="1" x14ac:dyDescent="0.2">
      <c r="B6" s="224" t="s">
        <v>242</v>
      </c>
      <c r="C6" s="222">
        <v>7</v>
      </c>
      <c r="D6" s="525" t="s">
        <v>243</v>
      </c>
      <c r="E6" s="525"/>
      <c r="F6" s="526" t="s">
        <v>300</v>
      </c>
      <c r="G6" s="526"/>
      <c r="H6" s="526"/>
      <c r="I6" s="527"/>
      <c r="J6" s="177"/>
      <c r="K6" s="177"/>
      <c r="M6" s="172" t="s">
        <v>60</v>
      </c>
      <c r="N6" s="176" t="s">
        <v>61</v>
      </c>
    </row>
    <row r="7" spans="2:14" ht="30.75" customHeight="1" x14ac:dyDescent="0.2">
      <c r="B7" s="224" t="s">
        <v>244</v>
      </c>
      <c r="C7" s="222" t="s">
        <v>81</v>
      </c>
      <c r="D7" s="525" t="s">
        <v>245</v>
      </c>
      <c r="E7" s="525"/>
      <c r="F7" s="526" t="s">
        <v>301</v>
      </c>
      <c r="G7" s="526"/>
      <c r="H7" s="178" t="s">
        <v>246</v>
      </c>
      <c r="I7" s="223"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533" t="s">
        <v>60</v>
      </c>
      <c r="D9" s="533"/>
      <c r="E9" s="533"/>
      <c r="F9" s="533"/>
      <c r="G9" s="178" t="s">
        <v>249</v>
      </c>
      <c r="H9" s="534" t="s">
        <v>298</v>
      </c>
      <c r="I9" s="535"/>
      <c r="J9" s="181"/>
      <c r="K9" s="181"/>
      <c r="M9" s="182" t="s">
        <v>73</v>
      </c>
    </row>
    <row r="10" spans="2:14" ht="58.9" customHeight="1" x14ac:dyDescent="0.2">
      <c r="B10" s="224" t="s">
        <v>250</v>
      </c>
      <c r="C10" s="526" t="s">
        <v>350</v>
      </c>
      <c r="D10" s="526"/>
      <c r="E10" s="526"/>
      <c r="F10" s="526"/>
      <c r="G10" s="526"/>
      <c r="H10" s="526"/>
      <c r="I10" s="527"/>
      <c r="J10" s="183"/>
      <c r="K10" s="183"/>
      <c r="M10" s="182"/>
    </row>
    <row r="11" spans="2:14" ht="30.75" customHeight="1" x14ac:dyDescent="0.2">
      <c r="B11" s="224" t="s">
        <v>251</v>
      </c>
      <c r="C11" s="528" t="s">
        <v>363</v>
      </c>
      <c r="D11" s="528"/>
      <c r="E11" s="528"/>
      <c r="F11" s="528"/>
      <c r="G11" s="528"/>
      <c r="H11" s="528"/>
      <c r="I11" s="732"/>
      <c r="J11" s="179"/>
      <c r="K11" s="179"/>
      <c r="M11" s="182"/>
      <c r="N11" s="176" t="s">
        <v>76</v>
      </c>
    </row>
    <row r="12" spans="2:14" ht="30.75" customHeight="1" x14ac:dyDescent="0.2">
      <c r="B12" s="224" t="s">
        <v>254</v>
      </c>
      <c r="C12" s="529" t="s">
        <v>299</v>
      </c>
      <c r="D12" s="529"/>
      <c r="E12" s="529"/>
      <c r="F12" s="529"/>
      <c r="G12" s="178" t="s">
        <v>252</v>
      </c>
      <c r="H12" s="556" t="s">
        <v>91</v>
      </c>
      <c r="I12" s="557"/>
      <c r="J12" s="179"/>
      <c r="K12" s="179"/>
      <c r="M12" s="182" t="s">
        <v>80</v>
      </c>
      <c r="N12" s="176" t="s">
        <v>81</v>
      </c>
    </row>
    <row r="13" spans="2:14" ht="30.75" customHeight="1" x14ac:dyDescent="0.2">
      <c r="B13" s="224" t="s">
        <v>255</v>
      </c>
      <c r="C13" s="540" t="s">
        <v>330</v>
      </c>
      <c r="D13" s="540"/>
      <c r="E13" s="540"/>
      <c r="F13" s="540"/>
      <c r="G13" s="178" t="s">
        <v>253</v>
      </c>
      <c r="H13" s="528" t="s">
        <v>57</v>
      </c>
      <c r="I13" s="732"/>
      <c r="J13" s="179"/>
      <c r="K13" s="179"/>
      <c r="M13" s="182" t="s">
        <v>84</v>
      </c>
    </row>
    <row r="14" spans="2:14" ht="30" customHeight="1" x14ac:dyDescent="0.2">
      <c r="B14" s="224" t="s">
        <v>256</v>
      </c>
      <c r="C14" s="529" t="s">
        <v>312</v>
      </c>
      <c r="D14" s="529"/>
      <c r="E14" s="529"/>
      <c r="F14" s="529"/>
      <c r="G14" s="529"/>
      <c r="H14" s="529"/>
      <c r="I14" s="530"/>
      <c r="J14" s="183"/>
      <c r="K14" s="183"/>
      <c r="M14" s="182" t="s">
        <v>86</v>
      </c>
      <c r="N14" s="176"/>
    </row>
    <row r="15" spans="2:14" ht="30.75" customHeight="1" x14ac:dyDescent="0.2">
      <c r="B15" s="224" t="s">
        <v>257</v>
      </c>
      <c r="C15" s="529" t="s">
        <v>310</v>
      </c>
      <c r="D15" s="529"/>
      <c r="E15" s="529"/>
      <c r="F15" s="529"/>
      <c r="G15" s="529"/>
      <c r="H15" s="529"/>
      <c r="I15" s="530"/>
      <c r="J15" s="184"/>
      <c r="K15" s="184"/>
      <c r="M15" s="182" t="s">
        <v>88</v>
      </c>
      <c r="N15" s="176"/>
    </row>
    <row r="16" spans="2:14" ht="42.6" customHeight="1" x14ac:dyDescent="0.2">
      <c r="B16" s="224" t="s">
        <v>258</v>
      </c>
      <c r="C16" s="526" t="s">
        <v>313</v>
      </c>
      <c r="D16" s="526"/>
      <c r="E16" s="526"/>
      <c r="F16" s="526"/>
      <c r="G16" s="526"/>
      <c r="H16" s="526"/>
      <c r="I16" s="527"/>
      <c r="J16" s="185"/>
      <c r="K16" s="185"/>
      <c r="M16" s="182"/>
      <c r="N16" s="176"/>
    </row>
    <row r="17" spans="2:14" ht="30.75" customHeight="1" x14ac:dyDescent="0.2">
      <c r="B17" s="224" t="s">
        <v>259</v>
      </c>
      <c r="C17" s="528" t="s">
        <v>152</v>
      </c>
      <c r="D17" s="547"/>
      <c r="E17" s="547"/>
      <c r="F17" s="547"/>
      <c r="G17" s="547"/>
      <c r="H17" s="547"/>
      <c r="I17" s="548"/>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61" t="s">
        <v>296</v>
      </c>
      <c r="D19" s="562"/>
      <c r="E19" s="642"/>
      <c r="F19" s="526" t="str">
        <f>C19</f>
        <v>Actividades que se ejecutaron para la implementacion de los procesos transversales</v>
      </c>
      <c r="G19" s="526"/>
      <c r="H19" s="526"/>
      <c r="I19" s="527"/>
      <c r="J19" s="185"/>
      <c r="K19" s="185"/>
      <c r="M19" s="182" t="s">
        <v>95</v>
      </c>
      <c r="N19" s="176"/>
    </row>
    <row r="20" spans="2:14" ht="39.75" customHeight="1" x14ac:dyDescent="0.2">
      <c r="B20" s="224" t="s">
        <v>266</v>
      </c>
      <c r="C20" s="561" t="s">
        <v>297</v>
      </c>
      <c r="D20" s="562"/>
      <c r="E20" s="642"/>
      <c r="F20" s="526" t="str">
        <f>C20</f>
        <v>Cantidad de actividades que se ejecutaron para la implementacion de los procesos transversales</v>
      </c>
      <c r="G20" s="526"/>
      <c r="H20" s="526"/>
      <c r="I20" s="527"/>
      <c r="J20" s="179"/>
      <c r="K20" s="179"/>
      <c r="M20" s="182"/>
      <c r="N20" s="176"/>
    </row>
    <row r="21" spans="2:14" ht="27" customHeight="1" x14ac:dyDescent="0.2">
      <c r="B21" s="224" t="s">
        <v>267</v>
      </c>
      <c r="C21" s="561" t="s">
        <v>152</v>
      </c>
      <c r="D21" s="562"/>
      <c r="E21" s="642"/>
      <c r="F21" s="561" t="s">
        <v>152</v>
      </c>
      <c r="G21" s="562"/>
      <c r="H21" s="562"/>
      <c r="I21" s="563"/>
      <c r="J21" s="184"/>
      <c r="K21" s="184"/>
      <c r="M21" s="188"/>
      <c r="N21" s="176"/>
    </row>
    <row r="22" spans="2:14" ht="23.25" customHeight="1" x14ac:dyDescent="0.2">
      <c r="B22" s="224" t="s">
        <v>268</v>
      </c>
      <c r="C22" s="604">
        <v>44197</v>
      </c>
      <c r="D22" s="615"/>
      <c r="E22" s="616"/>
      <c r="F22" s="178" t="s">
        <v>271</v>
      </c>
      <c r="G22" s="225">
        <v>0.1</v>
      </c>
      <c r="H22" s="178" t="s">
        <v>275</v>
      </c>
      <c r="I22" s="260">
        <v>0.1</v>
      </c>
      <c r="J22" s="173">
        <v>3.377402597402597E-2</v>
      </c>
      <c r="K22" s="189"/>
      <c r="M22" s="188"/>
    </row>
    <row r="23" spans="2:14" ht="27" customHeight="1" x14ac:dyDescent="0.2">
      <c r="B23" s="224" t="s">
        <v>269</v>
      </c>
      <c r="C23" s="604">
        <v>44561</v>
      </c>
      <c r="D23" s="605"/>
      <c r="E23" s="606"/>
      <c r="F23" s="178" t="s">
        <v>272</v>
      </c>
      <c r="G23" s="544">
        <v>0.4</v>
      </c>
      <c r="H23" s="545"/>
      <c r="I23" s="546"/>
      <c r="J23" s="190"/>
      <c r="K23" s="190"/>
      <c r="M23" s="188"/>
    </row>
    <row r="24" spans="2:14" ht="30.75" customHeight="1" x14ac:dyDescent="0.2">
      <c r="B24" s="231" t="s">
        <v>270</v>
      </c>
      <c r="C24" s="617" t="s">
        <v>321</v>
      </c>
      <c r="D24" s="618"/>
      <c r="E24" s="619"/>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586">
        <f>SUM(C27:C38)</f>
        <v>0.39999999999999997</v>
      </c>
      <c r="G27" s="586">
        <f>SUM(D27:D38)</f>
        <v>0.35695999999999994</v>
      </c>
      <c r="H27" s="264">
        <f>+(D27*100%)/$G$23</f>
        <v>1.4800000000000001E-2</v>
      </c>
      <c r="I27" s="772">
        <f>G27+I22</f>
        <v>0.45695999999999992</v>
      </c>
      <c r="J27" s="185"/>
      <c r="K27" s="185"/>
      <c r="M27" s="188"/>
    </row>
    <row r="28" spans="2:14" ht="15.6" customHeight="1" x14ac:dyDescent="0.2">
      <c r="B28" s="191" t="s">
        <v>114</v>
      </c>
      <c r="C28" s="210">
        <f>10.92%*G23</f>
        <v>4.3680000000000004E-2</v>
      </c>
      <c r="D28" s="262">
        <f>7.72%*G23</f>
        <v>3.0879999999999998E-2</v>
      </c>
      <c r="E28" s="263">
        <f t="shared" ref="E28:E38" si="0">IF(OR(C28=0,C28=""),0,D28/C28)</f>
        <v>0.70695970695970689</v>
      </c>
      <c r="F28" s="587"/>
      <c r="G28" s="587"/>
      <c r="H28" s="264">
        <f>+IF(D28="","",((D28*100%)/$G$23)+H27)</f>
        <v>9.1999999999999998E-2</v>
      </c>
      <c r="I28" s="773"/>
      <c r="J28" s="185"/>
      <c r="K28" s="185"/>
      <c r="M28" s="188"/>
    </row>
    <row r="29" spans="2:14" ht="15.6" customHeight="1" x14ac:dyDescent="0.2">
      <c r="B29" s="191" t="s">
        <v>115</v>
      </c>
      <c r="C29" s="210">
        <f>10.68%*G23</f>
        <v>4.2720000000000001E-2</v>
      </c>
      <c r="D29" s="262">
        <f>10.68%*G23</f>
        <v>4.2720000000000001E-2</v>
      </c>
      <c r="E29" s="263">
        <f t="shared" si="0"/>
        <v>1</v>
      </c>
      <c r="F29" s="587"/>
      <c r="G29" s="587"/>
      <c r="H29" s="264">
        <f t="shared" ref="H29:H38" si="1">+IF(D29="","",((D29*100%)/$G$23)+H28)</f>
        <v>0.19879999999999998</v>
      </c>
      <c r="I29" s="773"/>
      <c r="J29" s="185"/>
      <c r="K29" s="185"/>
      <c r="M29" s="188"/>
    </row>
    <row r="30" spans="2:14" ht="15.6" customHeight="1" x14ac:dyDescent="0.2">
      <c r="B30" s="191" t="s">
        <v>116</v>
      </c>
      <c r="C30" s="210">
        <f>14.92%*G23</f>
        <v>5.9680000000000004E-2</v>
      </c>
      <c r="D30" s="262">
        <f>17.32%*G23</f>
        <v>6.9279999999999994E-2</v>
      </c>
      <c r="E30" s="263">
        <f t="shared" si="0"/>
        <v>1.1608579088471849</v>
      </c>
      <c r="F30" s="587"/>
      <c r="G30" s="587"/>
      <c r="H30" s="264">
        <f t="shared" si="1"/>
        <v>0.37199999999999994</v>
      </c>
      <c r="I30" s="773"/>
      <c r="J30" s="185"/>
      <c r="K30" s="185"/>
      <c r="M30" s="188"/>
    </row>
    <row r="31" spans="2:14" ht="15.6" customHeight="1" x14ac:dyDescent="0.2">
      <c r="B31" s="191" t="s">
        <v>117</v>
      </c>
      <c r="C31" s="210">
        <f>13.09%*G23</f>
        <v>5.2359999999999997E-2</v>
      </c>
      <c r="D31" s="262">
        <f>13.09%*G23</f>
        <v>5.2359999999999997E-2</v>
      </c>
      <c r="E31" s="263">
        <f t="shared" si="0"/>
        <v>1</v>
      </c>
      <c r="F31" s="587"/>
      <c r="G31" s="587"/>
      <c r="H31" s="264">
        <f t="shared" si="1"/>
        <v>0.5028999999999999</v>
      </c>
      <c r="I31" s="773"/>
      <c r="J31" s="185"/>
      <c r="K31" s="185"/>
      <c r="M31" s="188"/>
    </row>
    <row r="32" spans="2:14" ht="15.6" customHeight="1" x14ac:dyDescent="0.2">
      <c r="B32" s="191" t="s">
        <v>118</v>
      </c>
      <c r="C32" s="210">
        <f>9.99%*G23</f>
        <v>3.9960000000000002E-2</v>
      </c>
      <c r="D32" s="262">
        <f>8.34%*G23</f>
        <v>3.3360000000000001E-2</v>
      </c>
      <c r="E32" s="263">
        <f t="shared" si="0"/>
        <v>0.83483483483483478</v>
      </c>
      <c r="F32" s="587"/>
      <c r="G32" s="587"/>
      <c r="H32" s="264">
        <f t="shared" si="1"/>
        <v>0.58629999999999993</v>
      </c>
      <c r="I32" s="773"/>
      <c r="J32" s="185"/>
      <c r="K32" s="185"/>
      <c r="M32" s="188"/>
    </row>
    <row r="33" spans="2:11" ht="19.5" customHeight="1" x14ac:dyDescent="0.2">
      <c r="B33" s="191" t="s">
        <v>119</v>
      </c>
      <c r="C33" s="210">
        <f>8.77%*G23</f>
        <v>3.508E-2</v>
      </c>
      <c r="D33" s="262">
        <v>3.508E-2</v>
      </c>
      <c r="E33" s="263">
        <f t="shared" si="0"/>
        <v>1</v>
      </c>
      <c r="F33" s="587"/>
      <c r="G33" s="587"/>
      <c r="H33" s="264">
        <f t="shared" si="1"/>
        <v>0.67399999999999993</v>
      </c>
      <c r="I33" s="773"/>
      <c r="J33" s="195"/>
      <c r="K33" s="195"/>
    </row>
    <row r="34" spans="2:11" ht="19.5" customHeight="1" x14ac:dyDescent="0.2">
      <c r="B34" s="191" t="s">
        <v>120</v>
      </c>
      <c r="C34" s="210">
        <f>8.37%*G23</f>
        <v>3.3480000000000003E-2</v>
      </c>
      <c r="D34" s="262">
        <f>6.79%*G23</f>
        <v>2.7160000000000004E-2</v>
      </c>
      <c r="E34" s="263">
        <f t="shared" si="0"/>
        <v>0.81123058542413384</v>
      </c>
      <c r="F34" s="587"/>
      <c r="G34" s="587"/>
      <c r="H34" s="264">
        <f t="shared" si="1"/>
        <v>0.74189999999999989</v>
      </c>
      <c r="I34" s="773"/>
      <c r="J34" s="195"/>
      <c r="K34" s="195"/>
    </row>
    <row r="35" spans="2:11" ht="19.5" customHeight="1" x14ac:dyDescent="0.2">
      <c r="B35" s="191" t="s">
        <v>121</v>
      </c>
      <c r="C35" s="210">
        <f>8.42%*G23</f>
        <v>3.3680000000000002E-2</v>
      </c>
      <c r="D35" s="262">
        <v>3.3680000000000002E-2</v>
      </c>
      <c r="E35" s="263">
        <f t="shared" si="0"/>
        <v>1</v>
      </c>
      <c r="F35" s="587"/>
      <c r="G35" s="587"/>
      <c r="H35" s="264">
        <f t="shared" si="1"/>
        <v>0.82609999999999983</v>
      </c>
      <c r="I35" s="773"/>
      <c r="J35" s="195"/>
      <c r="K35" s="195"/>
    </row>
    <row r="36" spans="2:11" ht="19.5" customHeight="1" x14ac:dyDescent="0.2">
      <c r="B36" s="191" t="s">
        <v>122</v>
      </c>
      <c r="C36" s="210">
        <f>6.63%*G23</f>
        <v>2.6520000000000002E-2</v>
      </c>
      <c r="D36" s="262">
        <f>6.63%*G23</f>
        <v>2.6520000000000002E-2</v>
      </c>
      <c r="E36" s="263">
        <f t="shared" si="0"/>
        <v>1</v>
      </c>
      <c r="F36" s="587"/>
      <c r="G36" s="587"/>
      <c r="H36" s="264">
        <f t="shared" si="1"/>
        <v>0.89239999999999986</v>
      </c>
      <c r="I36" s="773"/>
      <c r="J36" s="195"/>
      <c r="K36" s="195"/>
    </row>
    <row r="37" spans="2:11" ht="19.5" customHeight="1" x14ac:dyDescent="0.2">
      <c r="B37" s="191" t="s">
        <v>123</v>
      </c>
      <c r="C37" s="210">
        <f>3.38%*G23</f>
        <v>1.3519999999999999E-2</v>
      </c>
      <c r="D37" s="262"/>
      <c r="E37" s="263">
        <f t="shared" si="0"/>
        <v>0</v>
      </c>
      <c r="F37" s="587"/>
      <c r="G37" s="587"/>
      <c r="H37" s="264" t="str">
        <f t="shared" si="1"/>
        <v/>
      </c>
      <c r="I37" s="773"/>
      <c r="J37" s="195"/>
      <c r="K37" s="195"/>
    </row>
    <row r="38" spans="2:11" ht="19.5" customHeight="1" x14ac:dyDescent="0.2">
      <c r="B38" s="191" t="s">
        <v>124</v>
      </c>
      <c r="C38" s="210">
        <f>3.35%*G23</f>
        <v>1.3400000000000002E-2</v>
      </c>
      <c r="D38" s="262"/>
      <c r="E38" s="263">
        <f t="shared" si="0"/>
        <v>0</v>
      </c>
      <c r="F38" s="588"/>
      <c r="G38" s="588"/>
      <c r="H38" s="264" t="str">
        <f t="shared" si="1"/>
        <v/>
      </c>
      <c r="I38" s="774"/>
      <c r="J38" s="195"/>
      <c r="K38" s="195"/>
    </row>
    <row r="39" spans="2:11" ht="52.5" customHeight="1" x14ac:dyDescent="0.2">
      <c r="B39" s="229" t="s">
        <v>277</v>
      </c>
      <c r="C39" s="739"/>
      <c r="D39" s="740"/>
      <c r="E39" s="740"/>
      <c r="F39" s="740"/>
      <c r="G39" s="740"/>
      <c r="H39" s="740"/>
      <c r="I39" s="741"/>
      <c r="J39" s="196"/>
      <c r="K39" s="196"/>
    </row>
    <row r="40" spans="2:11" ht="34.5" customHeight="1" x14ac:dyDescent="0.2">
      <c r="B40" s="571"/>
      <c r="C40" s="572"/>
      <c r="D40" s="572"/>
      <c r="E40" s="572"/>
      <c r="F40" s="572"/>
      <c r="G40" s="572"/>
      <c r="H40" s="572"/>
      <c r="I40" s="573"/>
      <c r="J40" s="175"/>
      <c r="K40" s="175"/>
    </row>
    <row r="41" spans="2:11" ht="34.5" customHeight="1" x14ac:dyDescent="0.2">
      <c r="B41" s="574"/>
      <c r="C41" s="575"/>
      <c r="D41" s="575"/>
      <c r="E41" s="575"/>
      <c r="F41" s="575"/>
      <c r="G41" s="575"/>
      <c r="H41" s="575"/>
      <c r="I41" s="576"/>
      <c r="J41" s="196"/>
      <c r="K41" s="196"/>
    </row>
    <row r="42" spans="2:11" ht="34.5" customHeight="1" x14ac:dyDescent="0.2">
      <c r="B42" s="574"/>
      <c r="C42" s="575"/>
      <c r="D42" s="575"/>
      <c r="E42" s="575"/>
      <c r="F42" s="575"/>
      <c r="G42" s="575"/>
      <c r="H42" s="575"/>
      <c r="I42" s="576"/>
      <c r="J42" s="196"/>
      <c r="K42" s="196"/>
    </row>
    <row r="43" spans="2:11" ht="34.5" customHeight="1" x14ac:dyDescent="0.2">
      <c r="B43" s="574"/>
      <c r="C43" s="575"/>
      <c r="D43" s="575"/>
      <c r="E43" s="575"/>
      <c r="F43" s="575"/>
      <c r="G43" s="575"/>
      <c r="H43" s="575"/>
      <c r="I43" s="576"/>
      <c r="J43" s="196"/>
      <c r="K43" s="196"/>
    </row>
    <row r="44" spans="2:11" ht="34.5" customHeight="1" x14ac:dyDescent="0.2">
      <c r="B44" s="577"/>
      <c r="C44" s="578"/>
      <c r="D44" s="578"/>
      <c r="E44" s="578"/>
      <c r="F44" s="578"/>
      <c r="G44" s="578"/>
      <c r="H44" s="578"/>
      <c r="I44" s="579"/>
      <c r="J44" s="174"/>
      <c r="K44" s="174"/>
    </row>
    <row r="45" spans="2:11" ht="156" customHeight="1" x14ac:dyDescent="0.2">
      <c r="B45" s="224" t="s">
        <v>278</v>
      </c>
      <c r="C45" s="775" t="s">
        <v>421</v>
      </c>
      <c r="D45" s="776"/>
      <c r="E45" s="776"/>
      <c r="F45" s="776"/>
      <c r="G45" s="776"/>
      <c r="H45" s="776"/>
      <c r="I45" s="777"/>
      <c r="J45" s="197"/>
      <c r="K45" s="197"/>
    </row>
    <row r="46" spans="2:11" ht="93.75" customHeight="1" x14ac:dyDescent="0.2">
      <c r="B46" s="224" t="s">
        <v>279</v>
      </c>
      <c r="C46" s="775" t="s">
        <v>422</v>
      </c>
      <c r="D46" s="776"/>
      <c r="E46" s="776"/>
      <c r="F46" s="776"/>
      <c r="G46" s="776"/>
      <c r="H46" s="776"/>
      <c r="I46" s="777"/>
      <c r="J46" s="197"/>
      <c r="K46" s="197"/>
    </row>
    <row r="47" spans="2:11" ht="66" customHeight="1" x14ac:dyDescent="0.2">
      <c r="B47" s="230" t="s">
        <v>280</v>
      </c>
      <c r="C47" s="775" t="s">
        <v>423</v>
      </c>
      <c r="D47" s="776"/>
      <c r="E47" s="776"/>
      <c r="F47" s="776"/>
      <c r="G47" s="776"/>
      <c r="H47" s="776"/>
      <c r="I47" s="777"/>
      <c r="J47" s="197"/>
      <c r="K47" s="197"/>
    </row>
    <row r="48" spans="2:11" ht="22.5" customHeight="1" x14ac:dyDescent="0.2">
      <c r="B48" s="522" t="s">
        <v>236</v>
      </c>
      <c r="C48" s="523"/>
      <c r="D48" s="523"/>
      <c r="E48" s="523"/>
      <c r="F48" s="523"/>
      <c r="G48" s="523"/>
      <c r="H48" s="523"/>
      <c r="I48" s="524"/>
      <c r="J48" s="197"/>
      <c r="K48" s="197"/>
    </row>
    <row r="49" spans="2:11" ht="22.5" customHeight="1" x14ac:dyDescent="0.2">
      <c r="B49" s="593" t="s">
        <v>281</v>
      </c>
      <c r="C49" s="218" t="s">
        <v>282</v>
      </c>
      <c r="D49" s="595" t="s">
        <v>283</v>
      </c>
      <c r="E49" s="595"/>
      <c r="F49" s="595"/>
      <c r="G49" s="595" t="s">
        <v>284</v>
      </c>
      <c r="H49" s="595"/>
      <c r="I49" s="596"/>
      <c r="J49" s="198"/>
      <c r="K49" s="198"/>
    </row>
    <row r="50" spans="2:11" ht="30.75" customHeight="1" x14ac:dyDescent="0.2">
      <c r="B50" s="594"/>
      <c r="C50" s="261"/>
      <c r="D50" s="742"/>
      <c r="E50" s="742"/>
      <c r="F50" s="742"/>
      <c r="G50" s="742"/>
      <c r="H50" s="742"/>
      <c r="I50" s="743"/>
      <c r="J50" s="198"/>
      <c r="K50" s="198"/>
    </row>
    <row r="51" spans="2:11" ht="32.25" customHeight="1" x14ac:dyDescent="0.2">
      <c r="B51" s="233" t="s">
        <v>285</v>
      </c>
      <c r="C51" s="742" t="s">
        <v>358</v>
      </c>
      <c r="D51" s="742"/>
      <c r="E51" s="742"/>
      <c r="F51" s="742"/>
      <c r="G51" s="742"/>
      <c r="H51" s="742"/>
      <c r="I51" s="743"/>
      <c r="J51" s="200"/>
      <c r="K51" s="200"/>
    </row>
    <row r="52" spans="2:11" ht="28.5" customHeight="1" x14ac:dyDescent="0.2">
      <c r="B52" s="234" t="s">
        <v>286</v>
      </c>
      <c r="C52" s="742" t="s">
        <v>358</v>
      </c>
      <c r="D52" s="742"/>
      <c r="E52" s="742"/>
      <c r="F52" s="742"/>
      <c r="G52" s="742"/>
      <c r="H52" s="742"/>
      <c r="I52" s="743"/>
      <c r="J52" s="200"/>
      <c r="K52" s="200"/>
    </row>
    <row r="53" spans="2:11" ht="30" customHeight="1" x14ac:dyDescent="0.2">
      <c r="B53" s="230" t="s">
        <v>287</v>
      </c>
      <c r="C53" s="778" t="s">
        <v>355</v>
      </c>
      <c r="D53" s="779"/>
      <c r="E53" s="779"/>
      <c r="F53" s="779"/>
      <c r="G53" s="779"/>
      <c r="H53" s="779"/>
      <c r="I53" s="780"/>
      <c r="J53" s="201"/>
      <c r="K53" s="201"/>
    </row>
    <row r="54" spans="2:11" ht="31.5" customHeight="1" thickBot="1" x14ac:dyDescent="0.25">
      <c r="B54" s="211" t="s">
        <v>288</v>
      </c>
      <c r="C54" s="781" t="s">
        <v>324</v>
      </c>
      <c r="D54" s="782"/>
      <c r="E54" s="782"/>
      <c r="F54" s="782"/>
      <c r="G54" s="782"/>
      <c r="H54" s="782"/>
      <c r="I54" s="783"/>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C52:I52"/>
    <mergeCell ref="C53:I53"/>
    <mergeCell ref="C54:I54"/>
    <mergeCell ref="B49:B50"/>
    <mergeCell ref="D49:F49"/>
    <mergeCell ref="G49:I49"/>
    <mergeCell ref="D50:F50"/>
    <mergeCell ref="G50:I50"/>
    <mergeCell ref="C51:I51"/>
    <mergeCell ref="B48:I48"/>
    <mergeCell ref="C24:E24"/>
    <mergeCell ref="G24:I24"/>
    <mergeCell ref="B25:I25"/>
    <mergeCell ref="F27:F38"/>
    <mergeCell ref="G27:G38"/>
    <mergeCell ref="I27:I38"/>
    <mergeCell ref="C39:I39"/>
    <mergeCell ref="B40:I44"/>
    <mergeCell ref="C47:I47"/>
    <mergeCell ref="C45:I45"/>
    <mergeCell ref="C46:I46"/>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375"/>
      <c r="C2" s="373" t="s">
        <v>24</v>
      </c>
      <c r="D2" s="373"/>
      <c r="E2" s="373"/>
      <c r="F2" s="373"/>
      <c r="G2" s="373"/>
      <c r="H2" s="373"/>
      <c r="I2" s="377"/>
      <c r="J2" s="13"/>
      <c r="K2" s="13"/>
      <c r="M2" s="14" t="s">
        <v>47</v>
      </c>
    </row>
    <row r="3" spans="2:14" ht="25.5" customHeight="1" x14ac:dyDescent="0.2">
      <c r="B3" s="376"/>
      <c r="C3" s="374" t="s">
        <v>25</v>
      </c>
      <c r="D3" s="374"/>
      <c r="E3" s="374"/>
      <c r="F3" s="374"/>
      <c r="G3" s="374"/>
      <c r="H3" s="374"/>
      <c r="I3" s="378"/>
      <c r="J3" s="13"/>
      <c r="K3" s="13"/>
      <c r="M3" s="14" t="s">
        <v>48</v>
      </c>
    </row>
    <row r="4" spans="2:14" ht="25.5" customHeight="1" x14ac:dyDescent="0.2">
      <c r="B4" s="376"/>
      <c r="C4" s="374" t="s">
        <v>49</v>
      </c>
      <c r="D4" s="374"/>
      <c r="E4" s="374"/>
      <c r="F4" s="374"/>
      <c r="G4" s="374"/>
      <c r="H4" s="374"/>
      <c r="I4" s="378"/>
      <c r="J4" s="13"/>
      <c r="K4" s="13"/>
      <c r="M4" s="14" t="s">
        <v>50</v>
      </c>
    </row>
    <row r="5" spans="2:14" ht="25.5" customHeight="1" x14ac:dyDescent="0.2">
      <c r="B5" s="376"/>
      <c r="C5" s="374" t="s">
        <v>51</v>
      </c>
      <c r="D5" s="374"/>
      <c r="E5" s="374"/>
      <c r="F5" s="374"/>
      <c r="G5" s="379" t="s">
        <v>52</v>
      </c>
      <c r="H5" s="379"/>
      <c r="I5" s="378"/>
      <c r="J5" s="13"/>
      <c r="K5" s="13"/>
      <c r="M5" s="14" t="s">
        <v>53</v>
      </c>
    </row>
    <row r="6" spans="2:14" ht="23.25" customHeight="1" x14ac:dyDescent="0.2">
      <c r="B6" s="380" t="s">
        <v>54</v>
      </c>
      <c r="C6" s="381"/>
      <c r="D6" s="381"/>
      <c r="E6" s="381"/>
      <c r="F6" s="381"/>
      <c r="G6" s="381"/>
      <c r="H6" s="381"/>
      <c r="I6" s="382"/>
      <c r="J6" s="15"/>
      <c r="K6" s="15"/>
    </row>
    <row r="7" spans="2:14" ht="24" customHeight="1" x14ac:dyDescent="0.2">
      <c r="B7" s="383" t="s">
        <v>55</v>
      </c>
      <c r="C7" s="384"/>
      <c r="D7" s="384"/>
      <c r="E7" s="384"/>
      <c r="F7" s="384"/>
      <c r="G7" s="384"/>
      <c r="H7" s="384"/>
      <c r="I7" s="385"/>
      <c r="J7" s="16"/>
      <c r="K7" s="16"/>
    </row>
    <row r="8" spans="2:14" ht="24" customHeight="1" x14ac:dyDescent="0.2">
      <c r="B8" s="386" t="s">
        <v>56</v>
      </c>
      <c r="C8" s="387"/>
      <c r="D8" s="387"/>
      <c r="E8" s="387"/>
      <c r="F8" s="387"/>
      <c r="G8" s="387"/>
      <c r="H8" s="387"/>
      <c r="I8" s="388"/>
      <c r="J8" s="58"/>
      <c r="K8" s="58"/>
      <c r="N8" s="6" t="s">
        <v>57</v>
      </c>
    </row>
    <row r="9" spans="2:14" ht="30.75" customHeight="1" x14ac:dyDescent="0.2">
      <c r="B9" s="98" t="s">
        <v>58</v>
      </c>
      <c r="C9" s="59">
        <v>14</v>
      </c>
      <c r="D9" s="394" t="s">
        <v>59</v>
      </c>
      <c r="E9" s="394"/>
      <c r="F9" s="395" t="s">
        <v>207</v>
      </c>
      <c r="G9" s="396"/>
      <c r="H9" s="396"/>
      <c r="I9" s="397"/>
      <c r="J9" s="17"/>
      <c r="K9" s="17"/>
      <c r="M9" s="14" t="s">
        <v>60</v>
      </c>
      <c r="N9" s="6" t="s">
        <v>61</v>
      </c>
    </row>
    <row r="10" spans="2:14" ht="30.75" customHeight="1" x14ac:dyDescent="0.2">
      <c r="B10" s="20" t="s">
        <v>62</v>
      </c>
      <c r="C10" s="60" t="s">
        <v>81</v>
      </c>
      <c r="D10" s="398" t="s">
        <v>63</v>
      </c>
      <c r="E10" s="399"/>
      <c r="F10" s="389" t="s">
        <v>155</v>
      </c>
      <c r="G10" s="390"/>
      <c r="H10" s="18" t="s">
        <v>64</v>
      </c>
      <c r="I10" s="76" t="s">
        <v>81</v>
      </c>
      <c r="J10" s="19"/>
      <c r="K10" s="19"/>
      <c r="M10" s="14" t="s">
        <v>65</v>
      </c>
      <c r="N10" s="6" t="s">
        <v>66</v>
      </c>
    </row>
    <row r="11" spans="2:14" ht="30.75" customHeight="1" x14ac:dyDescent="0.2">
      <c r="B11" s="20" t="s">
        <v>67</v>
      </c>
      <c r="C11" s="391" t="s">
        <v>156</v>
      </c>
      <c r="D11" s="391"/>
      <c r="E11" s="391"/>
      <c r="F11" s="391"/>
      <c r="G11" s="18" t="s">
        <v>68</v>
      </c>
      <c r="H11" s="392">
        <v>1032</v>
      </c>
      <c r="I11" s="393"/>
      <c r="J11" s="21"/>
      <c r="K11" s="21"/>
      <c r="M11" s="14" t="s">
        <v>69</v>
      </c>
      <c r="N11" s="6" t="s">
        <v>70</v>
      </c>
    </row>
    <row r="12" spans="2:14" ht="30.75" customHeight="1" x14ac:dyDescent="0.2">
      <c r="B12" s="20" t="s">
        <v>71</v>
      </c>
      <c r="C12" s="400" t="s">
        <v>65</v>
      </c>
      <c r="D12" s="400"/>
      <c r="E12" s="400"/>
      <c r="F12" s="400"/>
      <c r="G12" s="18" t="s">
        <v>72</v>
      </c>
      <c r="H12" s="810" t="s">
        <v>165</v>
      </c>
      <c r="I12" s="811"/>
      <c r="J12" s="22"/>
      <c r="K12" s="22"/>
      <c r="M12" s="23" t="s">
        <v>73</v>
      </c>
    </row>
    <row r="13" spans="2:14" ht="30.75" customHeight="1" x14ac:dyDescent="0.2">
      <c r="B13" s="20" t="s">
        <v>74</v>
      </c>
      <c r="C13" s="403" t="s">
        <v>45</v>
      </c>
      <c r="D13" s="403"/>
      <c r="E13" s="403"/>
      <c r="F13" s="403"/>
      <c r="G13" s="403"/>
      <c r="H13" s="403"/>
      <c r="I13" s="404"/>
      <c r="J13" s="24"/>
      <c r="K13" s="24"/>
      <c r="M13" s="23"/>
    </row>
    <row r="14" spans="2:14" ht="30.75" customHeight="1" x14ac:dyDescent="0.2">
      <c r="B14" s="20" t="s">
        <v>75</v>
      </c>
      <c r="C14" s="389" t="s">
        <v>153</v>
      </c>
      <c r="D14" s="390"/>
      <c r="E14" s="390"/>
      <c r="F14" s="390"/>
      <c r="G14" s="390"/>
      <c r="H14" s="390"/>
      <c r="I14" s="405"/>
      <c r="J14" s="19"/>
      <c r="K14" s="19"/>
      <c r="M14" s="23"/>
      <c r="N14" s="6" t="s">
        <v>76</v>
      </c>
    </row>
    <row r="15" spans="2:14" ht="30.75" customHeight="1" x14ac:dyDescent="0.2">
      <c r="B15" s="20" t="s">
        <v>77</v>
      </c>
      <c r="C15" s="395" t="s">
        <v>166</v>
      </c>
      <c r="D15" s="396"/>
      <c r="E15" s="396"/>
      <c r="F15" s="792"/>
      <c r="G15" s="18" t="s">
        <v>78</v>
      </c>
      <c r="H15" s="407" t="s">
        <v>91</v>
      </c>
      <c r="I15" s="408"/>
      <c r="J15" s="19"/>
      <c r="K15" s="19"/>
      <c r="M15" s="23" t="s">
        <v>80</v>
      </c>
      <c r="N15" s="6" t="s">
        <v>81</v>
      </c>
    </row>
    <row r="16" spans="2:14" ht="30.75" customHeight="1" x14ac:dyDescent="0.2">
      <c r="B16" s="20" t="s">
        <v>82</v>
      </c>
      <c r="C16" s="409" t="s">
        <v>215</v>
      </c>
      <c r="D16" s="410"/>
      <c r="E16" s="410"/>
      <c r="F16" s="410"/>
      <c r="G16" s="18" t="s">
        <v>83</v>
      </c>
      <c r="H16" s="407" t="s">
        <v>70</v>
      </c>
      <c r="I16" s="408"/>
      <c r="J16" s="19"/>
      <c r="K16" s="19"/>
      <c r="M16" s="23" t="s">
        <v>84</v>
      </c>
    </row>
    <row r="17" spans="2:14" ht="36" customHeight="1" x14ac:dyDescent="0.2">
      <c r="B17" s="20" t="s">
        <v>85</v>
      </c>
      <c r="C17" s="803" t="s">
        <v>167</v>
      </c>
      <c r="D17" s="804"/>
      <c r="E17" s="804"/>
      <c r="F17" s="804"/>
      <c r="G17" s="804"/>
      <c r="H17" s="804"/>
      <c r="I17" s="805"/>
      <c r="J17" s="24"/>
      <c r="K17" s="24"/>
      <c r="M17" s="23" t="s">
        <v>86</v>
      </c>
      <c r="N17" s="6" t="s">
        <v>39</v>
      </c>
    </row>
    <row r="18" spans="2:14" ht="30.75" customHeight="1" x14ac:dyDescent="0.2">
      <c r="B18" s="20" t="s">
        <v>87</v>
      </c>
      <c r="C18" s="395" t="s">
        <v>168</v>
      </c>
      <c r="D18" s="396"/>
      <c r="E18" s="396"/>
      <c r="F18" s="396"/>
      <c r="G18" s="396"/>
      <c r="H18" s="396"/>
      <c r="I18" s="397"/>
      <c r="J18" s="25"/>
      <c r="K18" s="25"/>
      <c r="M18" s="23" t="s">
        <v>88</v>
      </c>
      <c r="N18" s="6" t="s">
        <v>40</v>
      </c>
    </row>
    <row r="19" spans="2:14" ht="30.75" customHeight="1" x14ac:dyDescent="0.2">
      <c r="B19" s="20" t="s">
        <v>89</v>
      </c>
      <c r="C19" s="800" t="s">
        <v>200</v>
      </c>
      <c r="D19" s="801"/>
      <c r="E19" s="801"/>
      <c r="F19" s="801"/>
      <c r="G19" s="801"/>
      <c r="H19" s="801"/>
      <c r="I19" s="802"/>
      <c r="J19" s="26"/>
      <c r="K19" s="26"/>
      <c r="M19" s="23"/>
      <c r="N19" s="6" t="s">
        <v>41</v>
      </c>
    </row>
    <row r="20" spans="2:14" ht="30.75" customHeight="1" x14ac:dyDescent="0.2">
      <c r="B20" s="20" t="s">
        <v>90</v>
      </c>
      <c r="C20" s="806" t="s">
        <v>152</v>
      </c>
      <c r="D20" s="807"/>
      <c r="E20" s="807"/>
      <c r="F20" s="807"/>
      <c r="G20" s="807"/>
      <c r="H20" s="807"/>
      <c r="I20" s="808"/>
      <c r="J20" s="27"/>
      <c r="K20" s="27"/>
      <c r="M20" s="23" t="s">
        <v>91</v>
      </c>
      <c r="N20" s="6" t="s">
        <v>42</v>
      </c>
    </row>
    <row r="21" spans="2:14" ht="27.75" customHeight="1" x14ac:dyDescent="0.2">
      <c r="B21" s="414" t="s">
        <v>92</v>
      </c>
      <c r="C21" s="416" t="s">
        <v>93</v>
      </c>
      <c r="D21" s="416"/>
      <c r="E21" s="416"/>
      <c r="F21" s="417" t="s">
        <v>94</v>
      </c>
      <c r="G21" s="417"/>
      <c r="H21" s="417"/>
      <c r="I21" s="418"/>
      <c r="J21" s="28"/>
      <c r="K21" s="28"/>
      <c r="M21" s="23" t="s">
        <v>79</v>
      </c>
      <c r="N21" s="6" t="s">
        <v>43</v>
      </c>
    </row>
    <row r="22" spans="2:14" ht="27" customHeight="1" x14ac:dyDescent="0.2">
      <c r="B22" s="415"/>
      <c r="C22" s="800" t="s">
        <v>169</v>
      </c>
      <c r="D22" s="801"/>
      <c r="E22" s="809"/>
      <c r="F22" s="800" t="s">
        <v>171</v>
      </c>
      <c r="G22" s="801"/>
      <c r="H22" s="801"/>
      <c r="I22" s="802"/>
      <c r="J22" s="26"/>
      <c r="K22" s="26"/>
      <c r="M22" s="23" t="s">
        <v>95</v>
      </c>
      <c r="N22" s="6" t="s">
        <v>44</v>
      </c>
    </row>
    <row r="23" spans="2:14" ht="39.75" customHeight="1" x14ac:dyDescent="0.2">
      <c r="B23" s="20" t="s">
        <v>96</v>
      </c>
      <c r="C23" s="389" t="s">
        <v>152</v>
      </c>
      <c r="D23" s="390"/>
      <c r="E23" s="796"/>
      <c r="F23" s="389" t="s">
        <v>152</v>
      </c>
      <c r="G23" s="390"/>
      <c r="H23" s="390"/>
      <c r="I23" s="405"/>
      <c r="J23" s="19"/>
      <c r="K23" s="19"/>
      <c r="M23" s="23"/>
      <c r="N23" s="6" t="s">
        <v>45</v>
      </c>
    </row>
    <row r="24" spans="2:14" ht="44.25" customHeight="1" x14ac:dyDescent="0.2">
      <c r="B24" s="20" t="s">
        <v>97</v>
      </c>
      <c r="C24" s="797" t="s">
        <v>170</v>
      </c>
      <c r="D24" s="798"/>
      <c r="E24" s="799"/>
      <c r="F24" s="800" t="s">
        <v>172</v>
      </c>
      <c r="G24" s="801"/>
      <c r="H24" s="801"/>
      <c r="I24" s="802"/>
      <c r="J24" s="25"/>
      <c r="K24" s="25"/>
      <c r="M24" s="29"/>
      <c r="N24" s="6" t="s">
        <v>46</v>
      </c>
    </row>
    <row r="25" spans="2:14" ht="29.25" customHeight="1" x14ac:dyDescent="0.2">
      <c r="B25" s="20" t="s">
        <v>98</v>
      </c>
      <c r="C25" s="431" t="s">
        <v>215</v>
      </c>
      <c r="D25" s="432"/>
      <c r="E25" s="433"/>
      <c r="F25" s="18" t="s">
        <v>99</v>
      </c>
      <c r="G25" s="793">
        <v>74</v>
      </c>
      <c r="H25" s="794"/>
      <c r="I25" s="795"/>
      <c r="J25" s="30"/>
      <c r="K25" s="30"/>
      <c r="M25" s="29"/>
    </row>
    <row r="26" spans="2:14" ht="27" customHeight="1" x14ac:dyDescent="0.2">
      <c r="B26" s="20" t="s">
        <v>100</v>
      </c>
      <c r="C26" s="395" t="s">
        <v>216</v>
      </c>
      <c r="D26" s="396"/>
      <c r="E26" s="792"/>
      <c r="F26" s="18" t="s">
        <v>101</v>
      </c>
      <c r="G26" s="793">
        <v>0</v>
      </c>
      <c r="H26" s="794"/>
      <c r="I26" s="795"/>
      <c r="J26" s="31"/>
      <c r="K26" s="31"/>
      <c r="M26" s="29"/>
    </row>
    <row r="27" spans="2:14" ht="47.25" customHeight="1" x14ac:dyDescent="0.2">
      <c r="B27" s="97" t="s">
        <v>102</v>
      </c>
      <c r="C27" s="389" t="s">
        <v>86</v>
      </c>
      <c r="D27" s="390"/>
      <c r="E27" s="796"/>
      <c r="F27" s="32" t="s">
        <v>103</v>
      </c>
      <c r="G27" s="438" t="s">
        <v>182</v>
      </c>
      <c r="H27" s="439"/>
      <c r="I27" s="440"/>
      <c r="J27" s="28"/>
      <c r="K27" s="28"/>
      <c r="M27" s="29"/>
    </row>
    <row r="28" spans="2:14" ht="30" customHeight="1" x14ac:dyDescent="0.2">
      <c r="B28" s="444" t="s">
        <v>104</v>
      </c>
      <c r="C28" s="445"/>
      <c r="D28" s="445"/>
      <c r="E28" s="445"/>
      <c r="F28" s="445"/>
      <c r="G28" s="445"/>
      <c r="H28" s="445"/>
      <c r="I28" s="44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449"/>
      <c r="D42" s="449"/>
      <c r="E42" s="449"/>
      <c r="F42" s="449"/>
      <c r="G42" s="449"/>
      <c r="H42" s="449"/>
      <c r="I42" s="450"/>
      <c r="J42" s="39"/>
      <c r="K42" s="39"/>
    </row>
    <row r="43" spans="2:11" ht="29.25" customHeight="1" x14ac:dyDescent="0.2">
      <c r="B43" s="444" t="s">
        <v>126</v>
      </c>
      <c r="C43" s="445"/>
      <c r="D43" s="445"/>
      <c r="E43" s="445"/>
      <c r="F43" s="445"/>
      <c r="G43" s="445"/>
      <c r="H43" s="445"/>
      <c r="I43" s="446"/>
      <c r="J43" s="58"/>
      <c r="K43" s="58"/>
    </row>
    <row r="44" spans="2:11" ht="32.25" customHeight="1" x14ac:dyDescent="0.2">
      <c r="B44" s="419"/>
      <c r="C44" s="420"/>
      <c r="D44" s="420"/>
      <c r="E44" s="420"/>
      <c r="F44" s="420"/>
      <c r="G44" s="420"/>
      <c r="H44" s="420"/>
      <c r="I44" s="421"/>
      <c r="J44" s="58"/>
      <c r="K44" s="58"/>
    </row>
    <row r="45" spans="2:11" ht="32.25" customHeight="1" x14ac:dyDescent="0.2">
      <c r="B45" s="422"/>
      <c r="C45" s="423"/>
      <c r="D45" s="423"/>
      <c r="E45" s="423"/>
      <c r="F45" s="423"/>
      <c r="G45" s="423"/>
      <c r="H45" s="423"/>
      <c r="I45" s="424"/>
      <c r="J45" s="39"/>
      <c r="K45" s="39"/>
    </row>
    <row r="46" spans="2:11" ht="32.25" customHeight="1" x14ac:dyDescent="0.2">
      <c r="B46" s="422"/>
      <c r="C46" s="423"/>
      <c r="D46" s="423"/>
      <c r="E46" s="423"/>
      <c r="F46" s="423"/>
      <c r="G46" s="423"/>
      <c r="H46" s="423"/>
      <c r="I46" s="424"/>
      <c r="J46" s="39"/>
      <c r="K46" s="39"/>
    </row>
    <row r="47" spans="2:11" ht="32.25" customHeight="1" x14ac:dyDescent="0.2">
      <c r="B47" s="422"/>
      <c r="C47" s="423"/>
      <c r="D47" s="423"/>
      <c r="E47" s="423"/>
      <c r="F47" s="423"/>
      <c r="G47" s="423"/>
      <c r="H47" s="423"/>
      <c r="I47" s="424"/>
      <c r="J47" s="39"/>
      <c r="K47" s="39"/>
    </row>
    <row r="48" spans="2:11" ht="32.25" customHeight="1" x14ac:dyDescent="0.2">
      <c r="B48" s="425"/>
      <c r="C48" s="426"/>
      <c r="D48" s="426"/>
      <c r="E48" s="426"/>
      <c r="F48" s="426"/>
      <c r="G48" s="426"/>
      <c r="H48" s="426"/>
      <c r="I48" s="427"/>
      <c r="J48" s="40"/>
      <c r="K48" s="40"/>
    </row>
    <row r="49" spans="2:11" ht="79.5" customHeight="1" x14ac:dyDescent="0.2">
      <c r="B49" s="20" t="s">
        <v>127</v>
      </c>
      <c r="C49" s="786"/>
      <c r="D49" s="787"/>
      <c r="E49" s="787"/>
      <c r="F49" s="787"/>
      <c r="G49" s="787"/>
      <c r="H49" s="787"/>
      <c r="I49" s="788"/>
      <c r="J49" s="41"/>
      <c r="K49" s="41"/>
    </row>
    <row r="50" spans="2:11" ht="26.25" customHeight="1" x14ac:dyDescent="0.2">
      <c r="B50" s="20" t="s">
        <v>128</v>
      </c>
      <c r="C50" s="789"/>
      <c r="D50" s="790"/>
      <c r="E50" s="790"/>
      <c r="F50" s="790"/>
      <c r="G50" s="790"/>
      <c r="H50" s="790"/>
      <c r="I50" s="791"/>
      <c r="J50" s="41"/>
      <c r="K50" s="41"/>
    </row>
    <row r="51" spans="2:11" ht="64.5" customHeight="1" x14ac:dyDescent="0.2">
      <c r="B51" s="127" t="s">
        <v>129</v>
      </c>
      <c r="C51" s="786"/>
      <c r="D51" s="787"/>
      <c r="E51" s="787"/>
      <c r="F51" s="787"/>
      <c r="G51" s="787"/>
      <c r="H51" s="787"/>
      <c r="I51" s="788"/>
      <c r="J51" s="41"/>
      <c r="K51" s="41"/>
    </row>
    <row r="52" spans="2:11" ht="29.25" customHeight="1" x14ac:dyDescent="0.2">
      <c r="B52" s="444" t="s">
        <v>130</v>
      </c>
      <c r="C52" s="445"/>
      <c r="D52" s="445"/>
      <c r="E52" s="445"/>
      <c r="F52" s="445"/>
      <c r="G52" s="445"/>
      <c r="H52" s="445"/>
      <c r="I52" s="446"/>
      <c r="J52" s="41"/>
      <c r="K52" s="41"/>
    </row>
    <row r="53" spans="2:11" ht="33" customHeight="1" x14ac:dyDescent="0.2">
      <c r="B53" s="454" t="s">
        <v>131</v>
      </c>
      <c r="C53" s="128" t="s">
        <v>132</v>
      </c>
      <c r="D53" s="455" t="s">
        <v>133</v>
      </c>
      <c r="E53" s="455"/>
      <c r="F53" s="455"/>
      <c r="G53" s="455" t="s">
        <v>134</v>
      </c>
      <c r="H53" s="455"/>
      <c r="I53" s="456"/>
      <c r="J53" s="42"/>
      <c r="K53" s="42"/>
    </row>
    <row r="54" spans="2:11" ht="31.5" customHeight="1" x14ac:dyDescent="0.2">
      <c r="B54" s="454"/>
      <c r="C54" s="107"/>
      <c r="D54" s="449"/>
      <c r="E54" s="449"/>
      <c r="F54" s="449"/>
      <c r="G54" s="457"/>
      <c r="H54" s="457"/>
      <c r="I54" s="458"/>
      <c r="J54" s="42"/>
      <c r="K54" s="42"/>
    </row>
    <row r="55" spans="2:11" ht="31.5" customHeight="1" x14ac:dyDescent="0.2">
      <c r="B55" s="127" t="s">
        <v>135</v>
      </c>
      <c r="C55" s="784" t="s">
        <v>173</v>
      </c>
      <c r="D55" s="785"/>
      <c r="E55" s="471" t="s">
        <v>136</v>
      </c>
      <c r="F55" s="471"/>
      <c r="G55" s="470" t="s">
        <v>158</v>
      </c>
      <c r="H55" s="470"/>
      <c r="I55" s="472"/>
      <c r="J55" s="44"/>
      <c r="K55" s="44"/>
    </row>
    <row r="56" spans="2:11" ht="31.5" customHeight="1" x14ac:dyDescent="0.2">
      <c r="B56" s="127" t="s">
        <v>137</v>
      </c>
      <c r="C56" s="449" t="s">
        <v>372</v>
      </c>
      <c r="D56" s="449"/>
      <c r="E56" s="473" t="s">
        <v>138</v>
      </c>
      <c r="F56" s="473"/>
      <c r="G56" s="470" t="s">
        <v>184</v>
      </c>
      <c r="H56" s="470"/>
      <c r="I56" s="472"/>
      <c r="J56" s="44"/>
      <c r="K56" s="44"/>
    </row>
    <row r="57" spans="2:11" ht="31.5" customHeight="1" x14ac:dyDescent="0.2">
      <c r="B57" s="127" t="s">
        <v>139</v>
      </c>
      <c r="C57" s="449"/>
      <c r="D57" s="449"/>
      <c r="E57" s="459" t="s">
        <v>140</v>
      </c>
      <c r="F57" s="460"/>
      <c r="G57" s="463"/>
      <c r="H57" s="464"/>
      <c r="I57" s="465"/>
      <c r="J57" s="45"/>
      <c r="K57" s="45"/>
    </row>
    <row r="58" spans="2:11" ht="31.5" customHeight="1" thickBot="1" x14ac:dyDescent="0.25">
      <c r="B58" s="78" t="s">
        <v>141</v>
      </c>
      <c r="C58" s="469"/>
      <c r="D58" s="469"/>
      <c r="E58" s="461"/>
      <c r="F58" s="462"/>
      <c r="G58" s="466"/>
      <c r="H58" s="467"/>
      <c r="I58" s="46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78"/>
      <c r="C1" s="481" t="s">
        <v>24</v>
      </c>
      <c r="D1" s="482"/>
      <c r="E1" s="482"/>
      <c r="F1" s="482"/>
      <c r="G1" s="482"/>
      <c r="H1" s="483"/>
      <c r="I1" s="484"/>
      <c r="J1" s="485"/>
    </row>
    <row r="2" spans="2:11" ht="18" customHeight="1" thickBot="1" x14ac:dyDescent="0.3">
      <c r="B2" s="479"/>
      <c r="C2" s="490" t="s">
        <v>25</v>
      </c>
      <c r="D2" s="491"/>
      <c r="E2" s="491"/>
      <c r="F2" s="491"/>
      <c r="G2" s="491"/>
      <c r="H2" s="492"/>
      <c r="I2" s="486"/>
      <c r="J2" s="487"/>
    </row>
    <row r="3" spans="2:11" ht="18" customHeight="1" thickBot="1" x14ac:dyDescent="0.3">
      <c r="B3" s="479"/>
      <c r="C3" s="490" t="s">
        <v>183</v>
      </c>
      <c r="D3" s="491"/>
      <c r="E3" s="491"/>
      <c r="F3" s="491"/>
      <c r="G3" s="491"/>
      <c r="H3" s="492"/>
      <c r="I3" s="486"/>
      <c r="J3" s="487"/>
    </row>
    <row r="4" spans="2:11" ht="18" customHeight="1" thickBot="1" x14ac:dyDescent="0.3">
      <c r="B4" s="480"/>
      <c r="C4" s="490" t="s">
        <v>143</v>
      </c>
      <c r="D4" s="491"/>
      <c r="E4" s="491"/>
      <c r="F4" s="492"/>
      <c r="G4" s="493" t="s">
        <v>190</v>
      </c>
      <c r="H4" s="494"/>
      <c r="I4" s="488"/>
      <c r="J4" s="489"/>
    </row>
    <row r="5" spans="2:11" ht="18" customHeight="1" thickBot="1" x14ac:dyDescent="0.3">
      <c r="B5" s="51"/>
      <c r="C5" s="52"/>
      <c r="D5" s="52"/>
      <c r="E5" s="52"/>
      <c r="F5" s="52"/>
      <c r="G5" s="52"/>
      <c r="H5" s="52"/>
      <c r="I5" s="52"/>
      <c r="J5" s="53"/>
    </row>
    <row r="6" spans="2:11" ht="51.75" customHeight="1" thickBot="1" x14ac:dyDescent="0.3">
      <c r="B6" s="1" t="s">
        <v>199</v>
      </c>
      <c r="C6" s="497" t="s">
        <v>154</v>
      </c>
      <c r="D6" s="498"/>
      <c r="E6" s="499"/>
      <c r="F6" s="54"/>
      <c r="G6" s="52"/>
      <c r="H6" s="52"/>
      <c r="I6" s="52"/>
      <c r="J6" s="53"/>
    </row>
    <row r="7" spans="2:11" ht="32.25" customHeight="1" thickBot="1" x14ac:dyDescent="0.3">
      <c r="B7" s="2" t="s">
        <v>0</v>
      </c>
      <c r="C7" s="497" t="s">
        <v>155</v>
      </c>
      <c r="D7" s="498"/>
      <c r="E7" s="499"/>
      <c r="F7" s="54"/>
      <c r="G7" s="52"/>
      <c r="H7" s="52"/>
      <c r="I7" s="52"/>
      <c r="J7" s="53"/>
    </row>
    <row r="8" spans="2:11" ht="32.25" customHeight="1" thickBot="1" x14ac:dyDescent="0.3">
      <c r="B8" s="2" t="s">
        <v>144</v>
      </c>
      <c r="C8" s="497" t="s">
        <v>371</v>
      </c>
      <c r="D8" s="498"/>
      <c r="E8" s="499"/>
      <c r="F8" s="4"/>
      <c r="G8" s="52"/>
      <c r="H8" s="52"/>
      <c r="I8" s="52"/>
      <c r="J8" s="53"/>
    </row>
    <row r="9" spans="2:11" ht="33.75" customHeight="1" thickBot="1" x14ac:dyDescent="0.3">
      <c r="B9" s="2" t="s">
        <v>28</v>
      </c>
      <c r="C9" s="497" t="s">
        <v>184</v>
      </c>
      <c r="D9" s="498"/>
      <c r="E9" s="499"/>
      <c r="F9" s="54"/>
      <c r="G9" s="52"/>
      <c r="H9" s="52"/>
      <c r="I9" s="52"/>
      <c r="J9" s="53"/>
    </row>
    <row r="10" spans="2:11" ht="33.75" customHeight="1" thickBot="1" x14ac:dyDescent="0.3">
      <c r="B10" s="100" t="s">
        <v>197</v>
      </c>
      <c r="C10" s="497" t="s">
        <v>365</v>
      </c>
      <c r="D10" s="498"/>
      <c r="E10" s="499"/>
      <c r="F10" s="54"/>
      <c r="G10" s="52"/>
      <c r="H10" s="52"/>
      <c r="I10" s="52"/>
      <c r="J10" s="53"/>
    </row>
    <row r="11" spans="2:11" ht="34.5" customHeight="1" x14ac:dyDescent="0.25"/>
    <row r="12" spans="2:11" ht="21.75" customHeight="1" x14ac:dyDescent="0.25">
      <c r="B12" s="507" t="s">
        <v>218</v>
      </c>
      <c r="C12" s="508"/>
      <c r="D12" s="508"/>
      <c r="E12" s="508"/>
      <c r="F12" s="508"/>
      <c r="G12" s="508"/>
      <c r="H12" s="509"/>
      <c r="I12" s="818" t="s">
        <v>145</v>
      </c>
      <c r="J12" s="819"/>
      <c r="K12" s="819"/>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16"/>
    </row>
    <row r="16" spans="2:11" x14ac:dyDescent="0.25">
      <c r="B16" s="148"/>
      <c r="C16" s="149"/>
      <c r="D16" s="150"/>
      <c r="E16" s="151"/>
      <c r="F16" s="149"/>
      <c r="G16" s="150"/>
      <c r="H16" s="152"/>
      <c r="I16" s="153"/>
      <c r="J16" s="154"/>
      <c r="K16" s="817"/>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12" t="s">
        <v>17</v>
      </c>
      <c r="C19" s="813"/>
      <c r="D19" s="163">
        <f>SUM(D15:D16)</f>
        <v>0</v>
      </c>
      <c r="E19" s="814" t="s">
        <v>17</v>
      </c>
      <c r="F19" s="815"/>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375"/>
      <c r="C2" s="373" t="s">
        <v>24</v>
      </c>
      <c r="D2" s="373"/>
      <c r="E2" s="373"/>
      <c r="F2" s="373"/>
      <c r="G2" s="373"/>
      <c r="H2" s="373"/>
      <c r="I2" s="377"/>
      <c r="J2" s="13"/>
      <c r="K2" s="13"/>
      <c r="M2" s="14" t="s">
        <v>47</v>
      </c>
    </row>
    <row r="3" spans="2:14" ht="25.5" customHeight="1" x14ac:dyDescent="0.2">
      <c r="B3" s="376"/>
      <c r="C3" s="374" t="s">
        <v>25</v>
      </c>
      <c r="D3" s="374"/>
      <c r="E3" s="374"/>
      <c r="F3" s="374"/>
      <c r="G3" s="374"/>
      <c r="H3" s="374"/>
      <c r="I3" s="378"/>
      <c r="J3" s="13"/>
      <c r="K3" s="13"/>
      <c r="M3" s="14" t="s">
        <v>48</v>
      </c>
    </row>
    <row r="4" spans="2:14" ht="25.5" customHeight="1" x14ac:dyDescent="0.2">
      <c r="B4" s="376"/>
      <c r="C4" s="374" t="s">
        <v>49</v>
      </c>
      <c r="D4" s="374"/>
      <c r="E4" s="374"/>
      <c r="F4" s="374"/>
      <c r="G4" s="374"/>
      <c r="H4" s="374"/>
      <c r="I4" s="378"/>
      <c r="J4" s="13"/>
      <c r="K4" s="13"/>
      <c r="M4" s="14" t="s">
        <v>50</v>
      </c>
    </row>
    <row r="5" spans="2:14" ht="25.5" customHeight="1" x14ac:dyDescent="0.2">
      <c r="B5" s="376"/>
      <c r="C5" s="374" t="s">
        <v>51</v>
      </c>
      <c r="D5" s="374"/>
      <c r="E5" s="374"/>
      <c r="F5" s="374"/>
      <c r="G5" s="379" t="s">
        <v>52</v>
      </c>
      <c r="H5" s="379"/>
      <c r="I5" s="378"/>
      <c r="J5" s="13"/>
      <c r="K5" s="13"/>
      <c r="M5" s="14" t="s">
        <v>53</v>
      </c>
    </row>
    <row r="6" spans="2:14" ht="23.25" customHeight="1" x14ac:dyDescent="0.2">
      <c r="B6" s="380" t="s">
        <v>54</v>
      </c>
      <c r="C6" s="381"/>
      <c r="D6" s="381"/>
      <c r="E6" s="381"/>
      <c r="F6" s="381"/>
      <c r="G6" s="381"/>
      <c r="H6" s="381"/>
      <c r="I6" s="382"/>
      <c r="J6" s="15"/>
      <c r="K6" s="15"/>
    </row>
    <row r="7" spans="2:14" ht="24" customHeight="1" x14ac:dyDescent="0.2">
      <c r="B7" s="383" t="s">
        <v>55</v>
      </c>
      <c r="C7" s="384"/>
      <c r="D7" s="384"/>
      <c r="E7" s="384"/>
      <c r="F7" s="384"/>
      <c r="G7" s="384"/>
      <c r="H7" s="384"/>
      <c r="I7" s="385"/>
      <c r="J7" s="16"/>
      <c r="K7" s="16"/>
    </row>
    <row r="8" spans="2:14" ht="24" customHeight="1" x14ac:dyDescent="0.2">
      <c r="B8" s="386" t="s">
        <v>56</v>
      </c>
      <c r="C8" s="387"/>
      <c r="D8" s="387"/>
      <c r="E8" s="387"/>
      <c r="F8" s="387"/>
      <c r="G8" s="387"/>
      <c r="H8" s="387"/>
      <c r="I8" s="388"/>
      <c r="J8" s="58"/>
      <c r="K8" s="58"/>
      <c r="N8" s="6" t="s">
        <v>57</v>
      </c>
    </row>
    <row r="9" spans="2:14" ht="30.75" customHeight="1" x14ac:dyDescent="0.2">
      <c r="B9" s="113" t="s">
        <v>58</v>
      </c>
      <c r="C9" s="59">
        <v>231</v>
      </c>
      <c r="D9" s="394" t="s">
        <v>59</v>
      </c>
      <c r="E9" s="394"/>
      <c r="F9" s="395" t="s">
        <v>201</v>
      </c>
      <c r="G9" s="396"/>
      <c r="H9" s="396"/>
      <c r="I9" s="397"/>
      <c r="J9" s="17"/>
      <c r="K9" s="17"/>
      <c r="M9" s="14" t="s">
        <v>60</v>
      </c>
      <c r="N9" s="6" t="s">
        <v>61</v>
      </c>
    </row>
    <row r="10" spans="2:14" ht="30.75" customHeight="1" x14ac:dyDescent="0.2">
      <c r="B10" s="20" t="s">
        <v>62</v>
      </c>
      <c r="C10" s="60" t="s">
        <v>81</v>
      </c>
      <c r="D10" s="398" t="s">
        <v>63</v>
      </c>
      <c r="E10" s="399"/>
      <c r="F10" s="389" t="s">
        <v>155</v>
      </c>
      <c r="G10" s="390"/>
      <c r="H10" s="18" t="s">
        <v>64</v>
      </c>
      <c r="I10" s="115" t="s">
        <v>81</v>
      </c>
      <c r="J10" s="19"/>
      <c r="K10" s="19"/>
      <c r="M10" s="14" t="s">
        <v>65</v>
      </c>
      <c r="N10" s="6" t="s">
        <v>66</v>
      </c>
    </row>
    <row r="11" spans="2:14" ht="30.75" customHeight="1" x14ac:dyDescent="0.2">
      <c r="B11" s="20" t="s">
        <v>67</v>
      </c>
      <c r="C11" s="391" t="s">
        <v>156</v>
      </c>
      <c r="D11" s="391"/>
      <c r="E11" s="391"/>
      <c r="F11" s="391"/>
      <c r="G11" s="18" t="s">
        <v>68</v>
      </c>
      <c r="H11" s="392">
        <v>1032</v>
      </c>
      <c r="I11" s="393"/>
      <c r="J11" s="21"/>
      <c r="K11" s="21"/>
      <c r="M11" s="14" t="s">
        <v>69</v>
      </c>
      <c r="N11" s="6" t="s">
        <v>70</v>
      </c>
    </row>
    <row r="12" spans="2:14" ht="30.75" customHeight="1" x14ac:dyDescent="0.2">
      <c r="B12" s="20" t="s">
        <v>71</v>
      </c>
      <c r="C12" s="400" t="s">
        <v>65</v>
      </c>
      <c r="D12" s="400"/>
      <c r="E12" s="400"/>
      <c r="F12" s="400"/>
      <c r="G12" s="18" t="s">
        <v>72</v>
      </c>
      <c r="H12" s="401" t="s">
        <v>157</v>
      </c>
      <c r="I12" s="402"/>
      <c r="J12" s="22"/>
      <c r="K12" s="22"/>
      <c r="M12" s="23" t="s">
        <v>73</v>
      </c>
    </row>
    <row r="13" spans="2:14" ht="30.75" customHeight="1" x14ac:dyDescent="0.2">
      <c r="B13" s="20" t="s">
        <v>74</v>
      </c>
      <c r="C13" s="403" t="s">
        <v>45</v>
      </c>
      <c r="D13" s="403"/>
      <c r="E13" s="403"/>
      <c r="F13" s="403"/>
      <c r="G13" s="403"/>
      <c r="H13" s="403"/>
      <c r="I13" s="404"/>
      <c r="J13" s="24"/>
      <c r="K13" s="24"/>
      <c r="M13" s="23"/>
    </row>
    <row r="14" spans="2:14" ht="30.75" customHeight="1" x14ac:dyDescent="0.2">
      <c r="B14" s="20" t="s">
        <v>75</v>
      </c>
      <c r="C14" s="389" t="s">
        <v>202</v>
      </c>
      <c r="D14" s="390"/>
      <c r="E14" s="390"/>
      <c r="F14" s="390"/>
      <c r="G14" s="390"/>
      <c r="H14" s="390"/>
      <c r="I14" s="405"/>
      <c r="J14" s="19"/>
      <c r="K14" s="19"/>
      <c r="M14" s="23"/>
      <c r="N14" s="6" t="s">
        <v>76</v>
      </c>
    </row>
    <row r="15" spans="2:14" ht="30.75" customHeight="1" x14ac:dyDescent="0.2">
      <c r="B15" s="20" t="s">
        <v>77</v>
      </c>
      <c r="C15" s="406" t="s">
        <v>203</v>
      </c>
      <c r="D15" s="406"/>
      <c r="E15" s="406"/>
      <c r="F15" s="406"/>
      <c r="G15" s="18" t="s">
        <v>78</v>
      </c>
      <c r="H15" s="407" t="s">
        <v>91</v>
      </c>
      <c r="I15" s="408"/>
      <c r="J15" s="19"/>
      <c r="K15" s="19"/>
      <c r="M15" s="23" t="s">
        <v>80</v>
      </c>
      <c r="N15" s="6" t="s">
        <v>81</v>
      </c>
    </row>
    <row r="16" spans="2:14" ht="30.75" customHeight="1" x14ac:dyDescent="0.2">
      <c r="B16" s="20" t="s">
        <v>82</v>
      </c>
      <c r="C16" s="409" t="s">
        <v>215</v>
      </c>
      <c r="D16" s="410"/>
      <c r="E16" s="410"/>
      <c r="F16" s="410"/>
      <c r="G16" s="18" t="s">
        <v>83</v>
      </c>
      <c r="H16" s="407" t="s">
        <v>70</v>
      </c>
      <c r="I16" s="408"/>
      <c r="J16" s="19"/>
      <c r="K16" s="19"/>
      <c r="M16" s="23" t="s">
        <v>84</v>
      </c>
    </row>
    <row r="17" spans="2:14" ht="36" customHeight="1" x14ac:dyDescent="0.2">
      <c r="B17" s="20" t="s">
        <v>85</v>
      </c>
      <c r="C17" s="403" t="s">
        <v>204</v>
      </c>
      <c r="D17" s="403"/>
      <c r="E17" s="403"/>
      <c r="F17" s="403"/>
      <c r="G17" s="403"/>
      <c r="H17" s="403"/>
      <c r="I17" s="404"/>
      <c r="J17" s="24"/>
      <c r="K17" s="24"/>
      <c r="M17" s="23" t="s">
        <v>86</v>
      </c>
      <c r="N17" s="6" t="s">
        <v>39</v>
      </c>
    </row>
    <row r="18" spans="2:14" ht="30.75" customHeight="1" x14ac:dyDescent="0.2">
      <c r="B18" s="20" t="s">
        <v>87</v>
      </c>
      <c r="C18" s="406" t="s">
        <v>163</v>
      </c>
      <c r="D18" s="406"/>
      <c r="E18" s="406"/>
      <c r="F18" s="406"/>
      <c r="G18" s="406"/>
      <c r="H18" s="406"/>
      <c r="I18" s="411"/>
      <c r="J18" s="25"/>
      <c r="K18" s="25"/>
      <c r="M18" s="23" t="s">
        <v>88</v>
      </c>
      <c r="N18" s="6" t="s">
        <v>40</v>
      </c>
    </row>
    <row r="19" spans="2:14" ht="30.75" customHeight="1" x14ac:dyDescent="0.2">
      <c r="B19" s="20" t="s">
        <v>89</v>
      </c>
      <c r="C19" s="406" t="s">
        <v>159</v>
      </c>
      <c r="D19" s="406"/>
      <c r="E19" s="406"/>
      <c r="F19" s="406"/>
      <c r="G19" s="406"/>
      <c r="H19" s="406"/>
      <c r="I19" s="411"/>
      <c r="J19" s="26"/>
      <c r="K19" s="26"/>
      <c r="M19" s="23"/>
      <c r="N19" s="6" t="s">
        <v>41</v>
      </c>
    </row>
    <row r="20" spans="2:14" ht="30.75" customHeight="1" x14ac:dyDescent="0.2">
      <c r="B20" s="20" t="s">
        <v>90</v>
      </c>
      <c r="C20" s="412" t="s">
        <v>151</v>
      </c>
      <c r="D20" s="412"/>
      <c r="E20" s="412"/>
      <c r="F20" s="412"/>
      <c r="G20" s="412"/>
      <c r="H20" s="412"/>
      <c r="I20" s="413"/>
      <c r="J20" s="27"/>
      <c r="K20" s="27"/>
      <c r="M20" s="23" t="s">
        <v>91</v>
      </c>
      <c r="N20" s="6" t="s">
        <v>42</v>
      </c>
    </row>
    <row r="21" spans="2:14" ht="27.75" customHeight="1" x14ac:dyDescent="0.2">
      <c r="B21" s="414" t="s">
        <v>92</v>
      </c>
      <c r="C21" s="416" t="s">
        <v>93</v>
      </c>
      <c r="D21" s="416"/>
      <c r="E21" s="416"/>
      <c r="F21" s="417" t="s">
        <v>94</v>
      </c>
      <c r="G21" s="417"/>
      <c r="H21" s="417"/>
      <c r="I21" s="418"/>
      <c r="J21" s="28"/>
      <c r="K21" s="28"/>
      <c r="M21" s="23" t="s">
        <v>79</v>
      </c>
      <c r="N21" s="6" t="s">
        <v>43</v>
      </c>
    </row>
    <row r="22" spans="2:14" ht="27" customHeight="1" x14ac:dyDescent="0.2">
      <c r="B22" s="415"/>
      <c r="C22" s="406" t="s">
        <v>160</v>
      </c>
      <c r="D22" s="406"/>
      <c r="E22" s="406"/>
      <c r="F22" s="406" t="s">
        <v>161</v>
      </c>
      <c r="G22" s="406"/>
      <c r="H22" s="406"/>
      <c r="I22" s="411"/>
      <c r="J22" s="26"/>
      <c r="K22" s="26"/>
      <c r="M22" s="23" t="s">
        <v>95</v>
      </c>
      <c r="N22" s="6" t="s">
        <v>44</v>
      </c>
    </row>
    <row r="23" spans="2:14" ht="39.75" customHeight="1" x14ac:dyDescent="0.2">
      <c r="B23" s="20" t="s">
        <v>96</v>
      </c>
      <c r="C23" s="407" t="s">
        <v>151</v>
      </c>
      <c r="D23" s="407"/>
      <c r="E23" s="407"/>
      <c r="F23" s="407" t="s">
        <v>151</v>
      </c>
      <c r="G23" s="407"/>
      <c r="H23" s="407"/>
      <c r="I23" s="408"/>
      <c r="J23" s="19"/>
      <c r="K23" s="19"/>
      <c r="M23" s="23"/>
      <c r="N23" s="6" t="s">
        <v>45</v>
      </c>
    </row>
    <row r="24" spans="2:14" ht="44.25" customHeight="1" x14ac:dyDescent="0.2">
      <c r="B24" s="20" t="s">
        <v>97</v>
      </c>
      <c r="C24" s="428" t="s">
        <v>205</v>
      </c>
      <c r="D24" s="429"/>
      <c r="E24" s="430"/>
      <c r="F24" s="395" t="s">
        <v>206</v>
      </c>
      <c r="G24" s="396"/>
      <c r="H24" s="396"/>
      <c r="I24" s="397"/>
      <c r="J24" s="25"/>
      <c r="K24" s="25"/>
      <c r="M24" s="29"/>
      <c r="N24" s="6" t="s">
        <v>46</v>
      </c>
    </row>
    <row r="25" spans="2:14" ht="29.25" customHeight="1" x14ac:dyDescent="0.2">
      <c r="B25" s="20" t="s">
        <v>98</v>
      </c>
      <c r="C25" s="431" t="s">
        <v>215</v>
      </c>
      <c r="D25" s="432"/>
      <c r="E25" s="433"/>
      <c r="F25" s="18" t="s">
        <v>99</v>
      </c>
      <c r="G25" s="434">
        <v>0.3</v>
      </c>
      <c r="H25" s="435"/>
      <c r="I25" s="436"/>
      <c r="J25" s="30"/>
      <c r="K25" s="30"/>
      <c r="M25" s="29"/>
    </row>
    <row r="26" spans="2:14" ht="27" customHeight="1" x14ac:dyDescent="0.2">
      <c r="B26" s="20" t="s">
        <v>100</v>
      </c>
      <c r="C26" s="395" t="s">
        <v>216</v>
      </c>
      <c r="D26" s="396"/>
      <c r="E26" s="437"/>
      <c r="F26" s="18" t="s">
        <v>101</v>
      </c>
      <c r="G26" s="438">
        <v>0.3</v>
      </c>
      <c r="H26" s="439"/>
      <c r="I26" s="440"/>
      <c r="J26" s="31"/>
      <c r="K26" s="31"/>
      <c r="M26" s="29"/>
    </row>
    <row r="27" spans="2:14" ht="47.25" customHeight="1" x14ac:dyDescent="0.2">
      <c r="B27" s="112" t="s">
        <v>102</v>
      </c>
      <c r="C27" s="441" t="s">
        <v>86</v>
      </c>
      <c r="D27" s="442"/>
      <c r="E27" s="443"/>
      <c r="F27" s="32" t="s">
        <v>103</v>
      </c>
      <c r="G27" s="438" t="s">
        <v>182</v>
      </c>
      <c r="H27" s="439"/>
      <c r="I27" s="440"/>
      <c r="J27" s="28"/>
      <c r="K27" s="28"/>
      <c r="M27" s="29"/>
    </row>
    <row r="28" spans="2:14" ht="30" customHeight="1" x14ac:dyDescent="0.2">
      <c r="B28" s="444" t="s">
        <v>104</v>
      </c>
      <c r="C28" s="445"/>
      <c r="D28" s="445"/>
      <c r="E28" s="445"/>
      <c r="F28" s="445"/>
      <c r="G28" s="445"/>
      <c r="H28" s="445"/>
      <c r="I28" s="44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447" t="s">
        <v>224</v>
      </c>
      <c r="D42" s="447"/>
      <c r="E42" s="447"/>
      <c r="F42" s="447"/>
      <c r="G42" s="447"/>
      <c r="H42" s="447"/>
      <c r="I42" s="448"/>
      <c r="J42" s="39"/>
      <c r="K42" s="39"/>
    </row>
    <row r="43" spans="2:11" ht="29.25" customHeight="1" x14ac:dyDescent="0.2">
      <c r="B43" s="444" t="s">
        <v>126</v>
      </c>
      <c r="C43" s="445"/>
      <c r="D43" s="445"/>
      <c r="E43" s="445"/>
      <c r="F43" s="445"/>
      <c r="G43" s="445"/>
      <c r="H43" s="445"/>
      <c r="I43" s="446"/>
      <c r="J43" s="58"/>
      <c r="K43" s="58"/>
    </row>
    <row r="44" spans="2:11" ht="32.25" customHeight="1" x14ac:dyDescent="0.2">
      <c r="B44" s="419"/>
      <c r="C44" s="420"/>
      <c r="D44" s="420"/>
      <c r="E44" s="420"/>
      <c r="F44" s="420"/>
      <c r="G44" s="420"/>
      <c r="H44" s="420"/>
      <c r="I44" s="421"/>
      <c r="J44" s="58"/>
      <c r="K44" s="58"/>
    </row>
    <row r="45" spans="2:11" ht="32.25" customHeight="1" x14ac:dyDescent="0.2">
      <c r="B45" s="422"/>
      <c r="C45" s="423"/>
      <c r="D45" s="423"/>
      <c r="E45" s="423"/>
      <c r="F45" s="423"/>
      <c r="G45" s="423"/>
      <c r="H45" s="423"/>
      <c r="I45" s="424"/>
      <c r="J45" s="39"/>
      <c r="K45" s="39"/>
    </row>
    <row r="46" spans="2:11" ht="32.25" customHeight="1" x14ac:dyDescent="0.2">
      <c r="B46" s="422"/>
      <c r="C46" s="423"/>
      <c r="D46" s="423"/>
      <c r="E46" s="423"/>
      <c r="F46" s="423"/>
      <c r="G46" s="423"/>
      <c r="H46" s="423"/>
      <c r="I46" s="424"/>
      <c r="J46" s="39"/>
      <c r="K46" s="39"/>
    </row>
    <row r="47" spans="2:11" ht="32.25" customHeight="1" x14ac:dyDescent="0.2">
      <c r="B47" s="422"/>
      <c r="C47" s="423"/>
      <c r="D47" s="423"/>
      <c r="E47" s="423"/>
      <c r="F47" s="423"/>
      <c r="G47" s="423"/>
      <c r="H47" s="423"/>
      <c r="I47" s="424"/>
      <c r="J47" s="39"/>
      <c r="K47" s="39"/>
    </row>
    <row r="48" spans="2:11" ht="32.25" customHeight="1" x14ac:dyDescent="0.2">
      <c r="B48" s="425"/>
      <c r="C48" s="426"/>
      <c r="D48" s="426"/>
      <c r="E48" s="426"/>
      <c r="F48" s="426"/>
      <c r="G48" s="426"/>
      <c r="H48" s="426"/>
      <c r="I48" s="427"/>
      <c r="J48" s="40"/>
      <c r="K48" s="40"/>
    </row>
    <row r="49" spans="2:11" ht="83.25" customHeight="1" x14ac:dyDescent="0.2">
      <c r="B49" s="20" t="s">
        <v>127</v>
      </c>
      <c r="C49" s="447" t="s">
        <v>224</v>
      </c>
      <c r="D49" s="447"/>
      <c r="E49" s="447"/>
      <c r="F49" s="447"/>
      <c r="G49" s="447"/>
      <c r="H49" s="447"/>
      <c r="I49" s="448"/>
      <c r="J49" s="41"/>
      <c r="K49" s="41"/>
    </row>
    <row r="50" spans="2:11" ht="34.5" customHeight="1" x14ac:dyDescent="0.2">
      <c r="B50" s="20" t="s">
        <v>128</v>
      </c>
      <c r="C50" s="449" t="s">
        <v>182</v>
      </c>
      <c r="D50" s="449"/>
      <c r="E50" s="449"/>
      <c r="F50" s="449"/>
      <c r="G50" s="449"/>
      <c r="H50" s="449"/>
      <c r="I50" s="450"/>
      <c r="J50" s="41"/>
      <c r="K50" s="41"/>
    </row>
    <row r="51" spans="2:11" ht="34.5" customHeight="1" x14ac:dyDescent="0.2">
      <c r="B51" s="114" t="s">
        <v>129</v>
      </c>
      <c r="C51" s="451" t="s">
        <v>225</v>
      </c>
      <c r="D51" s="452"/>
      <c r="E51" s="452"/>
      <c r="F51" s="452"/>
      <c r="G51" s="452"/>
      <c r="H51" s="452"/>
      <c r="I51" s="453"/>
      <c r="J51" s="41"/>
      <c r="K51" s="41"/>
    </row>
    <row r="52" spans="2:11" ht="29.25" customHeight="1" x14ac:dyDescent="0.2">
      <c r="B52" s="444" t="s">
        <v>130</v>
      </c>
      <c r="C52" s="445"/>
      <c r="D52" s="445"/>
      <c r="E52" s="445"/>
      <c r="F52" s="445"/>
      <c r="G52" s="445"/>
      <c r="H52" s="445"/>
      <c r="I52" s="446"/>
      <c r="J52" s="41"/>
      <c r="K52" s="41"/>
    </row>
    <row r="53" spans="2:11" ht="33" customHeight="1" x14ac:dyDescent="0.2">
      <c r="B53" s="454" t="s">
        <v>131</v>
      </c>
      <c r="C53" s="111" t="s">
        <v>132</v>
      </c>
      <c r="D53" s="455" t="s">
        <v>133</v>
      </c>
      <c r="E53" s="455"/>
      <c r="F53" s="455"/>
      <c r="G53" s="455" t="s">
        <v>134</v>
      </c>
      <c r="H53" s="455"/>
      <c r="I53" s="456"/>
      <c r="J53" s="42"/>
      <c r="K53" s="42"/>
    </row>
    <row r="54" spans="2:11" ht="31.5" customHeight="1" x14ac:dyDescent="0.2">
      <c r="B54" s="454"/>
      <c r="C54" s="43"/>
      <c r="D54" s="449"/>
      <c r="E54" s="449"/>
      <c r="F54" s="449"/>
      <c r="G54" s="457"/>
      <c r="H54" s="457"/>
      <c r="I54" s="458"/>
      <c r="J54" s="42"/>
      <c r="K54" s="42"/>
    </row>
    <row r="55" spans="2:11" ht="31.5" customHeight="1" x14ac:dyDescent="0.2">
      <c r="B55" s="114" t="s">
        <v>135</v>
      </c>
      <c r="C55" s="470" t="s">
        <v>164</v>
      </c>
      <c r="D55" s="470"/>
      <c r="E55" s="471" t="s">
        <v>136</v>
      </c>
      <c r="F55" s="471"/>
      <c r="G55" s="470" t="s">
        <v>186</v>
      </c>
      <c r="H55" s="470"/>
      <c r="I55" s="472"/>
      <c r="J55" s="44"/>
      <c r="K55" s="44"/>
    </row>
    <row r="56" spans="2:11" ht="31.5" customHeight="1" x14ac:dyDescent="0.2">
      <c r="B56" s="114" t="s">
        <v>137</v>
      </c>
      <c r="C56" s="449" t="s">
        <v>372</v>
      </c>
      <c r="D56" s="449"/>
      <c r="E56" s="473" t="s">
        <v>138</v>
      </c>
      <c r="F56" s="473"/>
      <c r="G56" s="470" t="s">
        <v>184</v>
      </c>
      <c r="H56" s="470"/>
      <c r="I56" s="472"/>
      <c r="J56" s="44"/>
      <c r="K56" s="44"/>
    </row>
    <row r="57" spans="2:11" ht="31.5" customHeight="1" x14ac:dyDescent="0.2">
      <c r="B57" s="114" t="s">
        <v>139</v>
      </c>
      <c r="C57" s="449"/>
      <c r="D57" s="449"/>
      <c r="E57" s="459" t="s">
        <v>140</v>
      </c>
      <c r="F57" s="460"/>
      <c r="G57" s="463"/>
      <c r="H57" s="464"/>
      <c r="I57" s="465"/>
      <c r="J57" s="45"/>
      <c r="K57" s="45"/>
    </row>
    <row r="58" spans="2:11" ht="31.5" customHeight="1" thickBot="1" x14ac:dyDescent="0.25">
      <c r="B58" s="78" t="s">
        <v>141</v>
      </c>
      <c r="C58" s="469"/>
      <c r="D58" s="469"/>
      <c r="E58" s="461"/>
      <c r="F58" s="462"/>
      <c r="G58" s="466"/>
      <c r="H58" s="467"/>
      <c r="I58" s="46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78"/>
      <c r="C1" s="481" t="s">
        <v>24</v>
      </c>
      <c r="D1" s="482"/>
      <c r="E1" s="482"/>
      <c r="F1" s="482"/>
      <c r="G1" s="482"/>
      <c r="H1" s="483"/>
      <c r="I1" s="484"/>
      <c r="J1" s="485"/>
    </row>
    <row r="2" spans="2:13" ht="18" customHeight="1" thickBot="1" x14ac:dyDescent="0.3">
      <c r="B2" s="479"/>
      <c r="C2" s="490" t="s">
        <v>25</v>
      </c>
      <c r="D2" s="491"/>
      <c r="E2" s="491"/>
      <c r="F2" s="491"/>
      <c r="G2" s="491"/>
      <c r="H2" s="492"/>
      <c r="I2" s="486"/>
      <c r="J2" s="487"/>
    </row>
    <row r="3" spans="2:13" ht="18" customHeight="1" thickBot="1" x14ac:dyDescent="0.3">
      <c r="B3" s="479"/>
      <c r="C3" s="490" t="s">
        <v>142</v>
      </c>
      <c r="D3" s="491"/>
      <c r="E3" s="491"/>
      <c r="F3" s="491"/>
      <c r="G3" s="491"/>
      <c r="H3" s="492"/>
      <c r="I3" s="486"/>
      <c r="J3" s="487"/>
    </row>
    <row r="4" spans="2:13" ht="18" customHeight="1" thickBot="1" x14ac:dyDescent="0.3">
      <c r="B4" s="480"/>
      <c r="C4" s="490" t="s">
        <v>143</v>
      </c>
      <c r="D4" s="491"/>
      <c r="E4" s="491"/>
      <c r="F4" s="492"/>
      <c r="G4" s="493" t="s">
        <v>190</v>
      </c>
      <c r="H4" s="494"/>
      <c r="I4" s="488"/>
      <c r="J4" s="489"/>
    </row>
    <row r="5" spans="2:13" ht="18" customHeight="1" thickBot="1" x14ac:dyDescent="0.3">
      <c r="B5" s="51"/>
      <c r="C5" s="52"/>
      <c r="D5" s="52"/>
      <c r="E5" s="52"/>
      <c r="F5" s="52"/>
      <c r="G5" s="52"/>
      <c r="H5" s="52"/>
      <c r="I5" s="52"/>
      <c r="J5" s="53"/>
    </row>
    <row r="6" spans="2:13" ht="51.75" customHeight="1" thickBot="1" x14ac:dyDescent="0.3">
      <c r="B6" s="1" t="s">
        <v>185</v>
      </c>
      <c r="C6" s="497" t="s">
        <v>154</v>
      </c>
      <c r="D6" s="498"/>
      <c r="E6" s="499"/>
      <c r="F6" s="54"/>
      <c r="G6" s="52"/>
      <c r="H6" s="52"/>
      <c r="I6" s="52"/>
      <c r="J6" s="53"/>
    </row>
    <row r="7" spans="2:13" ht="32.25" customHeight="1" thickBot="1" x14ac:dyDescent="0.3">
      <c r="B7" s="2" t="s">
        <v>0</v>
      </c>
      <c r="C7" s="497" t="s">
        <v>155</v>
      </c>
      <c r="D7" s="498"/>
      <c r="E7" s="499"/>
      <c r="F7" s="54"/>
      <c r="G7" s="52"/>
      <c r="H7" s="52"/>
      <c r="I7" s="52"/>
      <c r="J7" s="53"/>
    </row>
    <row r="8" spans="2:13" ht="32.25" customHeight="1" thickBot="1" x14ac:dyDescent="0.3">
      <c r="B8" s="2" t="s">
        <v>144</v>
      </c>
      <c r="C8" s="497" t="s">
        <v>371</v>
      </c>
      <c r="D8" s="498"/>
      <c r="E8" s="499"/>
      <c r="F8" s="4"/>
      <c r="G8" s="52"/>
      <c r="H8" s="52"/>
      <c r="I8" s="52"/>
      <c r="J8" s="53"/>
    </row>
    <row r="9" spans="2:13" ht="33.75" customHeight="1" thickBot="1" x14ac:dyDescent="0.3">
      <c r="B9" s="2" t="s">
        <v>28</v>
      </c>
      <c r="C9" s="497" t="s">
        <v>184</v>
      </c>
      <c r="D9" s="498"/>
      <c r="E9" s="499"/>
      <c r="F9" s="54"/>
      <c r="G9" s="52"/>
      <c r="H9" s="52"/>
      <c r="I9" s="52"/>
      <c r="J9" s="53"/>
    </row>
    <row r="10" spans="2:13" ht="32.25" customHeight="1" thickBot="1" x14ac:dyDescent="0.3">
      <c r="B10" s="2" t="s">
        <v>197</v>
      </c>
      <c r="C10" s="497" t="s">
        <v>202</v>
      </c>
      <c r="D10" s="498"/>
      <c r="E10" s="499"/>
    </row>
    <row r="12" spans="2:13" x14ac:dyDescent="0.25">
      <c r="B12" s="507" t="s">
        <v>217</v>
      </c>
      <c r="C12" s="508"/>
      <c r="D12" s="508"/>
      <c r="E12" s="508"/>
      <c r="F12" s="508"/>
      <c r="G12" s="508"/>
      <c r="H12" s="509"/>
      <c r="I12" s="501" t="s">
        <v>145</v>
      </c>
      <c r="J12" s="502"/>
      <c r="K12" s="502"/>
    </row>
    <row r="13" spans="2:13" s="56" customFormat="1" ht="30" customHeight="1" x14ac:dyDescent="0.25">
      <c r="B13" s="495" t="s">
        <v>146</v>
      </c>
      <c r="C13" s="495" t="s">
        <v>147</v>
      </c>
      <c r="D13" s="495" t="s">
        <v>196</v>
      </c>
      <c r="E13" s="495" t="s">
        <v>148</v>
      </c>
      <c r="F13" s="495" t="s">
        <v>149</v>
      </c>
      <c r="G13" s="495" t="s">
        <v>191</v>
      </c>
      <c r="H13" s="495" t="s">
        <v>192</v>
      </c>
      <c r="I13" s="503" t="s">
        <v>193</v>
      </c>
      <c r="J13" s="505" t="s">
        <v>194</v>
      </c>
      <c r="K13" s="500" t="s">
        <v>195</v>
      </c>
    </row>
    <row r="14" spans="2:13" s="56" customFormat="1" x14ac:dyDescent="0.25">
      <c r="B14" s="496"/>
      <c r="C14" s="496"/>
      <c r="D14" s="496"/>
      <c r="E14" s="496"/>
      <c r="F14" s="496"/>
      <c r="G14" s="496"/>
      <c r="H14" s="496"/>
      <c r="I14" s="504"/>
      <c r="J14" s="506"/>
      <c r="K14" s="500"/>
    </row>
    <row r="15" spans="2:13" s="56" customFormat="1" ht="120" x14ac:dyDescent="0.25">
      <c r="B15" s="96">
        <v>1</v>
      </c>
      <c r="C15" s="140" t="s">
        <v>229</v>
      </c>
      <c r="D15" s="95">
        <v>0.19</v>
      </c>
      <c r="E15" s="91"/>
      <c r="F15" s="93" t="s">
        <v>230</v>
      </c>
      <c r="G15" s="169">
        <v>0.19</v>
      </c>
      <c r="H15" s="106">
        <v>43160</v>
      </c>
      <c r="I15" s="104">
        <v>0.19</v>
      </c>
      <c r="J15" s="110">
        <v>43132</v>
      </c>
      <c r="K15" s="101"/>
      <c r="M15" s="108"/>
    </row>
    <row r="16" spans="2:13" ht="75" x14ac:dyDescent="0.25">
      <c r="B16" s="139">
        <v>2</v>
      </c>
      <c r="C16" s="102" t="s">
        <v>231</v>
      </c>
      <c r="D16" s="95">
        <v>0.02</v>
      </c>
      <c r="E16" s="91"/>
      <c r="F16" s="93" t="s">
        <v>232</v>
      </c>
      <c r="G16" s="169">
        <v>0.02</v>
      </c>
      <c r="H16" s="106">
        <v>43344</v>
      </c>
      <c r="I16" s="104"/>
      <c r="J16" s="110"/>
      <c r="K16" s="101"/>
      <c r="M16" s="109"/>
    </row>
    <row r="17" spans="2:11" ht="90" x14ac:dyDescent="0.25">
      <c r="B17" s="168">
        <v>3</v>
      </c>
      <c r="C17" s="75" t="s">
        <v>226</v>
      </c>
      <c r="D17" s="95">
        <v>0.04</v>
      </c>
      <c r="E17" s="91"/>
      <c r="F17" s="93" t="s">
        <v>233</v>
      </c>
      <c r="G17" s="169">
        <v>0.04</v>
      </c>
      <c r="H17" s="106">
        <v>43435</v>
      </c>
      <c r="I17" s="104"/>
      <c r="J17" s="110"/>
      <c r="K17" s="101"/>
    </row>
    <row r="18" spans="2:11" x14ac:dyDescent="0.25">
      <c r="B18" s="474" t="s">
        <v>17</v>
      </c>
      <c r="C18" s="475"/>
      <c r="D18" s="57">
        <f>SUM(D15:D17)</f>
        <v>0.25</v>
      </c>
      <c r="E18" s="476" t="s">
        <v>17</v>
      </c>
      <c r="F18" s="477"/>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abSelected="1" topLeftCell="B28" zoomScale="70" zoomScaleNormal="70" zoomScalePageLayoutView="85" workbookViewId="0">
      <selection activeCell="E35" sqref="E35"/>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4"/>
      <c r="B1" s="510"/>
      <c r="C1" s="513" t="s">
        <v>25</v>
      </c>
      <c r="D1" s="513"/>
      <c r="E1" s="513"/>
      <c r="F1" s="513"/>
      <c r="G1" s="513"/>
      <c r="H1" s="513"/>
      <c r="I1" s="514"/>
      <c r="J1" s="170"/>
      <c r="K1" s="170"/>
      <c r="L1" s="213"/>
      <c r="M1" s="214" t="s">
        <v>47</v>
      </c>
      <c r="N1" s="213"/>
      <c r="O1" s="213"/>
    </row>
    <row r="2" spans="1:15" ht="37.5" customHeight="1" x14ac:dyDescent="0.2">
      <c r="A2" s="275"/>
      <c r="B2" s="511"/>
      <c r="C2" s="517" t="s">
        <v>239</v>
      </c>
      <c r="D2" s="517"/>
      <c r="E2" s="517"/>
      <c r="F2" s="517"/>
      <c r="G2" s="517"/>
      <c r="H2" s="517"/>
      <c r="I2" s="515"/>
      <c r="J2" s="170"/>
      <c r="K2" s="170"/>
      <c r="L2" s="213"/>
      <c r="M2" s="214" t="s">
        <v>48</v>
      </c>
      <c r="N2" s="213"/>
      <c r="O2" s="213"/>
    </row>
    <row r="3" spans="1:15" ht="37.5" customHeight="1" thickBot="1" x14ac:dyDescent="0.25">
      <c r="A3" s="275"/>
      <c r="B3" s="512"/>
      <c r="C3" s="518" t="s">
        <v>240</v>
      </c>
      <c r="D3" s="518"/>
      <c r="E3" s="518"/>
      <c r="F3" s="518" t="s">
        <v>241</v>
      </c>
      <c r="G3" s="518"/>
      <c r="H3" s="518"/>
      <c r="I3" s="516"/>
      <c r="J3" s="170"/>
      <c r="K3" s="170"/>
      <c r="L3" s="213"/>
      <c r="M3" s="214" t="s">
        <v>50</v>
      </c>
      <c r="N3" s="213"/>
      <c r="O3" s="213"/>
    </row>
    <row r="4" spans="1:15" ht="23.25" customHeight="1" x14ac:dyDescent="0.2">
      <c r="A4" s="275"/>
      <c r="B4" s="519" t="s">
        <v>357</v>
      </c>
      <c r="C4" s="520"/>
      <c r="D4" s="520"/>
      <c r="E4" s="520"/>
      <c r="F4" s="520"/>
      <c r="G4" s="520"/>
      <c r="H4" s="520"/>
      <c r="I4" s="521"/>
      <c r="J4" s="174"/>
      <c r="K4" s="174"/>
      <c r="L4" s="213"/>
      <c r="M4" s="213"/>
      <c r="N4" s="213"/>
      <c r="O4" s="213"/>
    </row>
    <row r="5" spans="1:15" ht="24" customHeight="1" x14ac:dyDescent="0.2">
      <c r="A5" s="275"/>
      <c r="B5" s="522" t="s">
        <v>234</v>
      </c>
      <c r="C5" s="523"/>
      <c r="D5" s="523"/>
      <c r="E5" s="523"/>
      <c r="F5" s="523"/>
      <c r="G5" s="523"/>
      <c r="H5" s="523"/>
      <c r="I5" s="524"/>
      <c r="J5" s="175"/>
      <c r="K5" s="175"/>
      <c r="L5" s="213"/>
      <c r="M5" s="213"/>
      <c r="N5" s="213" t="s">
        <v>57</v>
      </c>
      <c r="O5" s="213"/>
    </row>
    <row r="6" spans="1:15" ht="30.75" customHeight="1" x14ac:dyDescent="0.2">
      <c r="A6" s="275"/>
      <c r="B6" s="224" t="s">
        <v>242</v>
      </c>
      <c r="C6" s="222">
        <v>1</v>
      </c>
      <c r="D6" s="525" t="s">
        <v>243</v>
      </c>
      <c r="E6" s="525"/>
      <c r="F6" s="526" t="s">
        <v>360</v>
      </c>
      <c r="G6" s="526"/>
      <c r="H6" s="526"/>
      <c r="I6" s="527"/>
      <c r="J6" s="177"/>
      <c r="K6" s="177"/>
      <c r="L6" s="213"/>
      <c r="M6" s="214" t="s">
        <v>60</v>
      </c>
      <c r="N6" s="213" t="s">
        <v>61</v>
      </c>
      <c r="O6" s="213"/>
    </row>
    <row r="7" spans="1:15" ht="30.75" customHeight="1" x14ac:dyDescent="0.2">
      <c r="A7" s="275"/>
      <c r="B7" s="224" t="s">
        <v>244</v>
      </c>
      <c r="C7" s="222" t="s">
        <v>81</v>
      </c>
      <c r="D7" s="525" t="s">
        <v>245</v>
      </c>
      <c r="E7" s="525"/>
      <c r="F7" s="528" t="s">
        <v>325</v>
      </c>
      <c r="G7" s="528"/>
      <c r="H7" s="276" t="s">
        <v>246</v>
      </c>
      <c r="I7" s="223" t="s">
        <v>81</v>
      </c>
      <c r="J7" s="179"/>
      <c r="K7" s="179"/>
      <c r="L7" s="213"/>
      <c r="M7" s="214" t="s">
        <v>65</v>
      </c>
      <c r="N7" s="213" t="s">
        <v>66</v>
      </c>
      <c r="O7" s="213"/>
    </row>
    <row r="8" spans="1:15" ht="30.75" customHeight="1" x14ac:dyDescent="0.2">
      <c r="A8" s="275"/>
      <c r="B8" s="224" t="s">
        <v>247</v>
      </c>
      <c r="C8" s="526" t="s">
        <v>289</v>
      </c>
      <c r="D8" s="526"/>
      <c r="E8" s="526"/>
      <c r="F8" s="526"/>
      <c r="G8" s="221" t="s">
        <v>248</v>
      </c>
      <c r="H8" s="531">
        <v>7550</v>
      </c>
      <c r="I8" s="532"/>
      <c r="J8" s="180"/>
      <c r="K8" s="180"/>
      <c r="L8" s="213"/>
      <c r="M8" s="214" t="s">
        <v>69</v>
      </c>
      <c r="N8" s="213" t="s">
        <v>70</v>
      </c>
      <c r="O8" s="213"/>
    </row>
    <row r="9" spans="1:15" ht="30.75" customHeight="1" x14ac:dyDescent="0.2">
      <c r="A9" s="275"/>
      <c r="B9" s="224" t="s">
        <v>48</v>
      </c>
      <c r="C9" s="533" t="s">
        <v>60</v>
      </c>
      <c r="D9" s="533"/>
      <c r="E9" s="533"/>
      <c r="F9" s="533"/>
      <c r="G9" s="221" t="s">
        <v>249</v>
      </c>
      <c r="H9" s="534" t="s">
        <v>290</v>
      </c>
      <c r="I9" s="535"/>
      <c r="J9" s="181"/>
      <c r="K9" s="181"/>
      <c r="L9" s="213"/>
      <c r="M9" s="215" t="s">
        <v>73</v>
      </c>
      <c r="N9" s="213"/>
      <c r="O9" s="213"/>
    </row>
    <row r="10" spans="1:15" ht="39" customHeight="1" x14ac:dyDescent="0.2">
      <c r="A10" s="275"/>
      <c r="B10" s="224" t="s">
        <v>250</v>
      </c>
      <c r="C10" s="526" t="s">
        <v>348</v>
      </c>
      <c r="D10" s="526"/>
      <c r="E10" s="526"/>
      <c r="F10" s="526"/>
      <c r="G10" s="526"/>
      <c r="H10" s="526"/>
      <c r="I10" s="527"/>
      <c r="J10" s="183"/>
      <c r="K10" s="183"/>
      <c r="L10" s="213"/>
      <c r="M10" s="215"/>
      <c r="N10" s="213"/>
      <c r="O10" s="213"/>
    </row>
    <row r="11" spans="1:15" ht="30.75" customHeight="1" x14ac:dyDescent="0.2">
      <c r="A11" s="275"/>
      <c r="B11" s="224" t="s">
        <v>251</v>
      </c>
      <c r="C11" s="536" t="s">
        <v>291</v>
      </c>
      <c r="D11" s="536"/>
      <c r="E11" s="536"/>
      <c r="F11" s="536"/>
      <c r="G11" s="536"/>
      <c r="H11" s="536"/>
      <c r="I11" s="537"/>
      <c r="J11" s="179"/>
      <c r="K11" s="179"/>
      <c r="L11" s="213"/>
      <c r="M11" s="215"/>
      <c r="N11" s="213" t="s">
        <v>76</v>
      </c>
      <c r="O11" s="213"/>
    </row>
    <row r="12" spans="1:15" ht="30.75" customHeight="1" x14ac:dyDescent="0.2">
      <c r="A12" s="275"/>
      <c r="B12" s="224" t="s">
        <v>254</v>
      </c>
      <c r="C12" s="529" t="s">
        <v>314</v>
      </c>
      <c r="D12" s="529"/>
      <c r="E12" s="529"/>
      <c r="F12" s="529"/>
      <c r="G12" s="221" t="s">
        <v>252</v>
      </c>
      <c r="H12" s="538" t="s">
        <v>91</v>
      </c>
      <c r="I12" s="539"/>
      <c r="J12" s="179"/>
      <c r="K12" s="179"/>
      <c r="L12" s="213"/>
      <c r="M12" s="215" t="s">
        <v>80</v>
      </c>
      <c r="N12" s="213" t="s">
        <v>81</v>
      </c>
      <c r="O12" s="213"/>
    </row>
    <row r="13" spans="1:15" ht="30.75" customHeight="1" x14ac:dyDescent="0.2">
      <c r="A13" s="275"/>
      <c r="B13" s="224" t="s">
        <v>255</v>
      </c>
      <c r="C13" s="540" t="s">
        <v>330</v>
      </c>
      <c r="D13" s="540"/>
      <c r="E13" s="540"/>
      <c r="F13" s="540"/>
      <c r="G13" s="221" t="s">
        <v>253</v>
      </c>
      <c r="H13" s="538" t="s">
        <v>70</v>
      </c>
      <c r="I13" s="539"/>
      <c r="J13" s="179"/>
      <c r="K13" s="179"/>
      <c r="L13" s="213"/>
      <c r="M13" s="215" t="s">
        <v>84</v>
      </c>
      <c r="N13" s="213"/>
      <c r="O13" s="213"/>
    </row>
    <row r="14" spans="1:15" ht="64.5" customHeight="1" x14ac:dyDescent="0.2">
      <c r="A14" s="275"/>
      <c r="B14" s="224" t="s">
        <v>256</v>
      </c>
      <c r="C14" s="529" t="s">
        <v>315</v>
      </c>
      <c r="D14" s="529"/>
      <c r="E14" s="529"/>
      <c r="F14" s="529"/>
      <c r="G14" s="529"/>
      <c r="H14" s="529"/>
      <c r="I14" s="530"/>
      <c r="J14" s="183"/>
      <c r="K14" s="183"/>
      <c r="L14" s="213"/>
      <c r="M14" s="215" t="s">
        <v>86</v>
      </c>
      <c r="N14" s="213"/>
      <c r="O14" s="213"/>
    </row>
    <row r="15" spans="1:15" ht="30.75" customHeight="1" x14ac:dyDescent="0.2">
      <c r="A15" s="275"/>
      <c r="B15" s="224" t="s">
        <v>257</v>
      </c>
      <c r="C15" s="529" t="s">
        <v>376</v>
      </c>
      <c r="D15" s="529"/>
      <c r="E15" s="529"/>
      <c r="F15" s="529"/>
      <c r="G15" s="529"/>
      <c r="H15" s="529"/>
      <c r="I15" s="530"/>
      <c r="J15" s="184"/>
      <c r="K15" s="184"/>
      <c r="L15" s="213"/>
      <c r="M15" s="215" t="s">
        <v>88</v>
      </c>
      <c r="N15" s="213"/>
      <c r="O15" s="213"/>
    </row>
    <row r="16" spans="1:15" ht="20.25" customHeight="1" x14ac:dyDescent="0.2">
      <c r="A16" s="275"/>
      <c r="B16" s="224" t="s">
        <v>258</v>
      </c>
      <c r="C16" s="529" t="s">
        <v>316</v>
      </c>
      <c r="D16" s="529"/>
      <c r="E16" s="529"/>
      <c r="F16" s="529"/>
      <c r="G16" s="529"/>
      <c r="H16" s="529"/>
      <c r="I16" s="530"/>
      <c r="J16" s="185"/>
      <c r="K16" s="185"/>
      <c r="L16" s="213"/>
      <c r="M16" s="215"/>
      <c r="N16" s="213"/>
      <c r="O16" s="213"/>
    </row>
    <row r="17" spans="1:15" ht="30.75" customHeight="1" x14ac:dyDescent="0.2">
      <c r="A17" s="275"/>
      <c r="B17" s="224" t="s">
        <v>259</v>
      </c>
      <c r="C17" s="528" t="s">
        <v>309</v>
      </c>
      <c r="D17" s="547"/>
      <c r="E17" s="547"/>
      <c r="F17" s="547"/>
      <c r="G17" s="547"/>
      <c r="H17" s="547"/>
      <c r="I17" s="548"/>
      <c r="J17" s="186"/>
      <c r="K17" s="186"/>
      <c r="L17" s="213"/>
      <c r="M17" s="215" t="s">
        <v>91</v>
      </c>
      <c r="N17" s="213"/>
      <c r="O17" s="213"/>
    </row>
    <row r="18" spans="1:15" ht="18" customHeight="1" x14ac:dyDescent="0.2">
      <c r="A18" s="275"/>
      <c r="B18" s="549" t="s">
        <v>265</v>
      </c>
      <c r="C18" s="550" t="s">
        <v>237</v>
      </c>
      <c r="D18" s="550"/>
      <c r="E18" s="550"/>
      <c r="F18" s="551" t="s">
        <v>238</v>
      </c>
      <c r="G18" s="551"/>
      <c r="H18" s="551"/>
      <c r="I18" s="552"/>
      <c r="J18" s="187"/>
      <c r="K18" s="187"/>
      <c r="L18" s="213"/>
      <c r="M18" s="215" t="s">
        <v>79</v>
      </c>
      <c r="N18" s="213"/>
      <c r="O18" s="213"/>
    </row>
    <row r="19" spans="1:15" ht="39.75" customHeight="1" x14ac:dyDescent="0.2">
      <c r="A19" s="275"/>
      <c r="B19" s="549"/>
      <c r="C19" s="526" t="s">
        <v>317</v>
      </c>
      <c r="D19" s="526"/>
      <c r="E19" s="526"/>
      <c r="F19" s="526" t="s">
        <v>318</v>
      </c>
      <c r="G19" s="526"/>
      <c r="H19" s="526"/>
      <c r="I19" s="527"/>
      <c r="J19" s="185"/>
      <c r="K19" s="185"/>
      <c r="L19" s="213"/>
      <c r="M19" s="215" t="s">
        <v>95</v>
      </c>
      <c r="N19" s="213"/>
      <c r="O19" s="213"/>
    </row>
    <row r="20" spans="1:15" ht="39.75" customHeight="1" x14ac:dyDescent="0.2">
      <c r="A20" s="275"/>
      <c r="B20" s="224" t="s">
        <v>266</v>
      </c>
      <c r="C20" s="553" t="s">
        <v>309</v>
      </c>
      <c r="D20" s="554"/>
      <c r="E20" s="555"/>
      <c r="F20" s="556" t="s">
        <v>309</v>
      </c>
      <c r="G20" s="556"/>
      <c r="H20" s="556"/>
      <c r="I20" s="557"/>
      <c r="J20" s="179"/>
      <c r="K20" s="179"/>
      <c r="L20" s="213"/>
      <c r="M20" s="215"/>
      <c r="N20" s="213"/>
      <c r="O20" s="213"/>
    </row>
    <row r="21" spans="1:15" ht="106.15" customHeight="1" x14ac:dyDescent="0.2">
      <c r="A21" s="275"/>
      <c r="B21" s="224" t="s">
        <v>267</v>
      </c>
      <c r="C21" s="558" t="s">
        <v>319</v>
      </c>
      <c r="D21" s="559"/>
      <c r="E21" s="560"/>
      <c r="F21" s="561" t="s">
        <v>320</v>
      </c>
      <c r="G21" s="562"/>
      <c r="H21" s="562"/>
      <c r="I21" s="563"/>
      <c r="J21" s="184"/>
      <c r="K21" s="184"/>
      <c r="L21" s="213"/>
      <c r="M21" s="215"/>
      <c r="N21" s="213"/>
      <c r="O21" s="213"/>
    </row>
    <row r="22" spans="1:15" ht="23.25" customHeight="1" x14ac:dyDescent="0.2">
      <c r="A22" s="275"/>
      <c r="B22" s="224" t="s">
        <v>268</v>
      </c>
      <c r="C22" s="541">
        <v>44197</v>
      </c>
      <c r="D22" s="564"/>
      <c r="E22" s="565"/>
      <c r="F22" s="178" t="s">
        <v>271</v>
      </c>
      <c r="G22" s="277">
        <v>0.1</v>
      </c>
      <c r="H22" s="178" t="s">
        <v>275</v>
      </c>
      <c r="I22" s="278">
        <v>0.1</v>
      </c>
      <c r="J22" s="189"/>
      <c r="K22" s="189"/>
      <c r="L22" s="213"/>
      <c r="M22" s="215"/>
      <c r="N22" s="213"/>
      <c r="O22" s="213"/>
    </row>
    <row r="23" spans="1:15" ht="27" customHeight="1" x14ac:dyDescent="0.2">
      <c r="A23" s="275"/>
      <c r="B23" s="224" t="s">
        <v>269</v>
      </c>
      <c r="C23" s="541">
        <v>44561</v>
      </c>
      <c r="D23" s="542"/>
      <c r="E23" s="543"/>
      <c r="F23" s="178" t="s">
        <v>272</v>
      </c>
      <c r="G23" s="544">
        <v>0.3</v>
      </c>
      <c r="H23" s="545"/>
      <c r="I23" s="546"/>
      <c r="J23" s="190"/>
      <c r="K23" s="190"/>
      <c r="L23" s="213"/>
      <c r="M23" s="215"/>
      <c r="N23" s="213"/>
      <c r="O23" s="213"/>
    </row>
    <row r="24" spans="1:15" ht="30.75" customHeight="1" x14ac:dyDescent="0.2">
      <c r="A24" s="275"/>
      <c r="B24" s="231" t="s">
        <v>270</v>
      </c>
      <c r="C24" s="566" t="s">
        <v>321</v>
      </c>
      <c r="D24" s="567"/>
      <c r="E24" s="568"/>
      <c r="F24" s="227" t="s">
        <v>274</v>
      </c>
      <c r="G24" s="569" t="s">
        <v>223</v>
      </c>
      <c r="H24" s="542"/>
      <c r="I24" s="570"/>
      <c r="J24" s="187"/>
      <c r="K24" s="187"/>
      <c r="M24" s="188"/>
    </row>
    <row r="25" spans="1:15" ht="22.5" customHeight="1" x14ac:dyDescent="0.2">
      <c r="A25" s="275"/>
      <c r="B25" s="522" t="s">
        <v>235</v>
      </c>
      <c r="C25" s="523"/>
      <c r="D25" s="523"/>
      <c r="E25" s="523"/>
      <c r="F25" s="523"/>
      <c r="G25" s="523"/>
      <c r="H25" s="523"/>
      <c r="I25" s="524"/>
      <c r="J25" s="175"/>
      <c r="K25" s="175"/>
      <c r="M25" s="188"/>
    </row>
    <row r="26" spans="1:15" ht="43.5" customHeight="1" x14ac:dyDescent="0.2">
      <c r="A26" s="275"/>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5"/>
      <c r="B27" s="191" t="s">
        <v>323</v>
      </c>
      <c r="C27" s="216">
        <f>0.125*$G$23</f>
        <v>3.7499999999999999E-2</v>
      </c>
      <c r="D27" s="217">
        <f>12.5%*G23</f>
        <v>3.7499999999999999E-2</v>
      </c>
      <c r="E27" s="281">
        <f>IF(OR(C27=0,C27=""),0,D27/C27)</f>
        <v>1</v>
      </c>
      <c r="F27" s="586">
        <f>SUM(C27:C38)</f>
        <v>0.30002999999999996</v>
      </c>
      <c r="G27" s="583">
        <f>SUM(D27:D38)</f>
        <v>0.15713999999999997</v>
      </c>
      <c r="H27" s="281">
        <f>+(D27*100%)/$G$23</f>
        <v>0.125</v>
      </c>
      <c r="I27" s="580">
        <f>G27+I22</f>
        <v>0.25713999999999998</v>
      </c>
      <c r="J27" s="185"/>
      <c r="K27" s="185"/>
      <c r="M27" s="188"/>
    </row>
    <row r="28" spans="1:15" ht="15.6" customHeight="1" x14ac:dyDescent="0.2">
      <c r="A28" s="275"/>
      <c r="B28" s="191" t="s">
        <v>114</v>
      </c>
      <c r="C28" s="216">
        <f>0.125*$G$23</f>
        <v>3.7499999999999999E-2</v>
      </c>
      <c r="D28" s="216">
        <f>12.5%*G23</f>
        <v>3.7499999999999999E-2</v>
      </c>
      <c r="E28" s="281">
        <f t="shared" ref="E28:E38" si="0">IF(OR(C28=0,C28=""),0,D28/C28)</f>
        <v>1</v>
      </c>
      <c r="F28" s="587"/>
      <c r="G28" s="584"/>
      <c r="H28" s="281">
        <f>+IF(D28="","",((D28*100%)/$G$23)+H27)</f>
        <v>0.25</v>
      </c>
      <c r="I28" s="581"/>
      <c r="J28" s="185"/>
      <c r="K28" s="185"/>
      <c r="M28" s="188"/>
    </row>
    <row r="29" spans="1:15" ht="15.6" customHeight="1" x14ac:dyDescent="0.2">
      <c r="A29" s="275"/>
      <c r="B29" s="191" t="s">
        <v>115</v>
      </c>
      <c r="C29" s="216">
        <f>0.1275*$G$23</f>
        <v>3.8249999999999999E-2</v>
      </c>
      <c r="D29" s="216">
        <f>+G23*9.38%</f>
        <v>2.8140000000000002E-2</v>
      </c>
      <c r="E29" s="281">
        <f t="shared" si="0"/>
        <v>0.73568627450980395</v>
      </c>
      <c r="F29" s="587"/>
      <c r="G29" s="584"/>
      <c r="H29" s="281">
        <f t="shared" ref="H29:H38" si="1">+IF(D29="","",((D29*100%)/$G$23)+H28)</f>
        <v>0.34379999999999999</v>
      </c>
      <c r="I29" s="581"/>
      <c r="J29" s="185"/>
      <c r="K29" s="185"/>
      <c r="M29" s="188"/>
    </row>
    <row r="30" spans="1:15" ht="15.6" customHeight="1" x14ac:dyDescent="0.2">
      <c r="A30" s="275"/>
      <c r="B30" s="191" t="s">
        <v>116</v>
      </c>
      <c r="C30" s="216">
        <f>12.38%*G23</f>
        <v>3.7139999999999999E-2</v>
      </c>
      <c r="D30" s="216">
        <f>12%*G23</f>
        <v>3.5999999999999997E-2</v>
      </c>
      <c r="E30" s="281">
        <f t="shared" si="0"/>
        <v>0.96930533117932138</v>
      </c>
      <c r="F30" s="587"/>
      <c r="G30" s="584"/>
      <c r="H30" s="281">
        <f t="shared" si="1"/>
        <v>0.46379999999999999</v>
      </c>
      <c r="I30" s="581"/>
      <c r="J30" s="185"/>
      <c r="K30" s="185"/>
      <c r="M30" s="188"/>
    </row>
    <row r="31" spans="1:15" ht="15.6" customHeight="1" x14ac:dyDescent="0.2">
      <c r="A31" s="275"/>
      <c r="B31" s="191" t="s">
        <v>117</v>
      </c>
      <c r="C31" s="216">
        <v>0</v>
      </c>
      <c r="D31" s="216">
        <v>0</v>
      </c>
      <c r="E31" s="281">
        <f t="shared" si="0"/>
        <v>0</v>
      </c>
      <c r="F31" s="587"/>
      <c r="G31" s="584"/>
      <c r="H31" s="281">
        <f t="shared" si="1"/>
        <v>0.46379999999999999</v>
      </c>
      <c r="I31" s="581"/>
      <c r="J31" s="185"/>
      <c r="K31" s="185"/>
      <c r="M31" s="188"/>
    </row>
    <row r="32" spans="1:15" ht="15.6" customHeight="1" x14ac:dyDescent="0.2">
      <c r="A32" s="275"/>
      <c r="B32" s="191" t="s">
        <v>118</v>
      </c>
      <c r="C32" s="216">
        <v>0</v>
      </c>
      <c r="D32" s="216">
        <v>0</v>
      </c>
      <c r="E32" s="281">
        <f t="shared" si="0"/>
        <v>0</v>
      </c>
      <c r="F32" s="587"/>
      <c r="G32" s="584"/>
      <c r="H32" s="281">
        <f t="shared" si="1"/>
        <v>0.46379999999999999</v>
      </c>
      <c r="I32" s="581"/>
      <c r="J32" s="185"/>
      <c r="K32" s="185"/>
      <c r="M32" s="188"/>
    </row>
    <row r="33" spans="1:11" ht="19.5" customHeight="1" x14ac:dyDescent="0.2">
      <c r="A33" s="275"/>
      <c r="B33" s="191" t="s">
        <v>119</v>
      </c>
      <c r="C33" s="216">
        <v>0</v>
      </c>
      <c r="D33" s="216">
        <v>0</v>
      </c>
      <c r="E33" s="281">
        <f t="shared" si="0"/>
        <v>0</v>
      </c>
      <c r="F33" s="587"/>
      <c r="G33" s="584"/>
      <c r="H33" s="281">
        <f t="shared" si="1"/>
        <v>0.46379999999999999</v>
      </c>
      <c r="I33" s="581"/>
      <c r="J33" s="195"/>
      <c r="K33" s="195"/>
    </row>
    <row r="34" spans="1:11" ht="19.5" customHeight="1" x14ac:dyDescent="0.2">
      <c r="A34" s="275"/>
      <c r="B34" s="191" t="s">
        <v>120</v>
      </c>
      <c r="C34" s="216">
        <v>0</v>
      </c>
      <c r="D34" s="216">
        <v>0</v>
      </c>
      <c r="E34" s="281">
        <f t="shared" si="0"/>
        <v>0</v>
      </c>
      <c r="F34" s="587"/>
      <c r="G34" s="584"/>
      <c r="H34" s="281">
        <f t="shared" si="1"/>
        <v>0.46379999999999999</v>
      </c>
      <c r="I34" s="581"/>
      <c r="J34" s="195"/>
      <c r="K34" s="195"/>
    </row>
    <row r="35" spans="1:11" ht="19.5" customHeight="1" x14ac:dyDescent="0.2">
      <c r="A35" s="275"/>
      <c r="B35" s="191" t="s">
        <v>121</v>
      </c>
      <c r="C35" s="216">
        <v>0</v>
      </c>
      <c r="D35" s="216">
        <v>0</v>
      </c>
      <c r="E35" s="281">
        <f t="shared" si="0"/>
        <v>0</v>
      </c>
      <c r="F35" s="587"/>
      <c r="G35" s="584"/>
      <c r="H35" s="281">
        <f t="shared" si="1"/>
        <v>0.46379999999999999</v>
      </c>
      <c r="I35" s="581"/>
      <c r="J35" s="195" t="s">
        <v>402</v>
      </c>
      <c r="K35" s="195"/>
    </row>
    <row r="36" spans="1:11" ht="19.5" customHeight="1" x14ac:dyDescent="0.2">
      <c r="A36" s="275"/>
      <c r="B36" s="191" t="s">
        <v>122</v>
      </c>
      <c r="C36" s="216">
        <f>11.25%*$G$23</f>
        <v>3.3750000000000002E-2</v>
      </c>
      <c r="D36" s="216">
        <f>6%*G23</f>
        <v>1.7999999999999999E-2</v>
      </c>
      <c r="E36" s="281">
        <f t="shared" si="0"/>
        <v>0.53333333333333321</v>
      </c>
      <c r="F36" s="587"/>
      <c r="G36" s="584"/>
      <c r="H36" s="281">
        <f t="shared" si="1"/>
        <v>0.52380000000000004</v>
      </c>
      <c r="I36" s="581"/>
      <c r="J36" s="195"/>
      <c r="K36" s="195"/>
    </row>
    <row r="37" spans="1:11" ht="19.5" customHeight="1" x14ac:dyDescent="0.2">
      <c r="A37" s="275"/>
      <c r="B37" s="191" t="s">
        <v>123</v>
      </c>
      <c r="C37" s="216">
        <f>24.94%*$G$23</f>
        <v>7.4819999999999998E-2</v>
      </c>
      <c r="D37" s="216">
        <v>0</v>
      </c>
      <c r="E37" s="281">
        <f t="shared" si="0"/>
        <v>0</v>
      </c>
      <c r="F37" s="587"/>
      <c r="G37" s="584"/>
      <c r="H37" s="281">
        <f t="shared" si="1"/>
        <v>0.52380000000000004</v>
      </c>
      <c r="I37" s="581"/>
      <c r="J37" s="195"/>
      <c r="K37" s="195"/>
    </row>
    <row r="38" spans="1:11" ht="19.5" customHeight="1" x14ac:dyDescent="0.2">
      <c r="A38" s="275"/>
      <c r="B38" s="191" t="s">
        <v>124</v>
      </c>
      <c r="C38" s="216">
        <f>13.69%*$G$23</f>
        <v>4.1069999999999995E-2</v>
      </c>
      <c r="D38" s="216">
        <v>0</v>
      </c>
      <c r="E38" s="281">
        <f t="shared" si="0"/>
        <v>0</v>
      </c>
      <c r="F38" s="588"/>
      <c r="G38" s="585"/>
      <c r="H38" s="281">
        <f t="shared" si="1"/>
        <v>0.52380000000000004</v>
      </c>
      <c r="I38" s="582"/>
      <c r="J38" s="195"/>
      <c r="K38" s="195"/>
    </row>
    <row r="39" spans="1:11" ht="52.5" customHeight="1" x14ac:dyDescent="0.2">
      <c r="A39" s="275"/>
      <c r="B39" s="229" t="s">
        <v>277</v>
      </c>
      <c r="C39" s="820" t="s">
        <v>394</v>
      </c>
      <c r="D39" s="821"/>
      <c r="E39" s="821"/>
      <c r="F39" s="821"/>
      <c r="G39" s="821"/>
      <c r="H39" s="821"/>
      <c r="I39" s="822"/>
      <c r="J39" s="196"/>
      <c r="K39" s="196"/>
    </row>
    <row r="40" spans="1:11" ht="34.5" customHeight="1" x14ac:dyDescent="0.2">
      <c r="A40" s="275"/>
      <c r="B40" s="571"/>
      <c r="C40" s="572"/>
      <c r="D40" s="572"/>
      <c r="E40" s="572"/>
      <c r="F40" s="572"/>
      <c r="G40" s="572"/>
      <c r="H40" s="572"/>
      <c r="I40" s="573"/>
      <c r="J40" s="175"/>
      <c r="K40" s="175"/>
    </row>
    <row r="41" spans="1:11" ht="34.5" customHeight="1" x14ac:dyDescent="0.2">
      <c r="A41" s="275"/>
      <c r="B41" s="574"/>
      <c r="C41" s="575"/>
      <c r="D41" s="575"/>
      <c r="E41" s="575"/>
      <c r="F41" s="575"/>
      <c r="G41" s="575"/>
      <c r="H41" s="575"/>
      <c r="I41" s="576"/>
      <c r="J41" s="196"/>
      <c r="K41" s="196"/>
    </row>
    <row r="42" spans="1:11" ht="34.5" customHeight="1" x14ac:dyDescent="0.2">
      <c r="A42" s="275"/>
      <c r="B42" s="574"/>
      <c r="C42" s="575"/>
      <c r="D42" s="575"/>
      <c r="E42" s="575"/>
      <c r="F42" s="575"/>
      <c r="G42" s="575"/>
      <c r="H42" s="575"/>
      <c r="I42" s="576"/>
      <c r="J42" s="196"/>
      <c r="K42" s="196"/>
    </row>
    <row r="43" spans="1:11" ht="34.5" customHeight="1" x14ac:dyDescent="0.2">
      <c r="A43" s="275"/>
      <c r="B43" s="574"/>
      <c r="C43" s="575"/>
      <c r="D43" s="575"/>
      <c r="E43" s="575"/>
      <c r="F43" s="575"/>
      <c r="G43" s="575"/>
      <c r="H43" s="575"/>
      <c r="I43" s="576"/>
      <c r="J43" s="196"/>
      <c r="K43" s="196"/>
    </row>
    <row r="44" spans="1:11" ht="34.5" customHeight="1" x14ac:dyDescent="0.2">
      <c r="A44" s="275"/>
      <c r="B44" s="577"/>
      <c r="C44" s="578"/>
      <c r="D44" s="578"/>
      <c r="E44" s="578"/>
      <c r="F44" s="578"/>
      <c r="G44" s="578"/>
      <c r="H44" s="578"/>
      <c r="I44" s="579"/>
      <c r="J44" s="174"/>
      <c r="K44" s="174"/>
    </row>
    <row r="45" spans="1:11" ht="65.25" customHeight="1" x14ac:dyDescent="0.2">
      <c r="A45" s="275"/>
      <c r="B45" s="224" t="s">
        <v>278</v>
      </c>
      <c r="C45" s="597" t="s">
        <v>406</v>
      </c>
      <c r="D45" s="598"/>
      <c r="E45" s="598"/>
      <c r="F45" s="598"/>
      <c r="G45" s="598"/>
      <c r="H45" s="598"/>
      <c r="I45" s="599"/>
      <c r="J45" s="197"/>
      <c r="K45" s="197"/>
    </row>
    <row r="46" spans="1:11" ht="24" x14ac:dyDescent="0.2">
      <c r="A46" s="275"/>
      <c r="B46" s="224" t="s">
        <v>279</v>
      </c>
      <c r="C46" s="597"/>
      <c r="D46" s="598"/>
      <c r="E46" s="598"/>
      <c r="F46" s="598"/>
      <c r="G46" s="598"/>
      <c r="H46" s="598"/>
      <c r="I46" s="599"/>
      <c r="J46" s="197"/>
      <c r="K46" s="197"/>
    </row>
    <row r="47" spans="1:11" ht="65.25" customHeight="1" x14ac:dyDescent="0.2">
      <c r="A47" s="275"/>
      <c r="B47" s="230" t="s">
        <v>280</v>
      </c>
      <c r="C47" s="600" t="s">
        <v>404</v>
      </c>
      <c r="D47" s="601"/>
      <c r="E47" s="601"/>
      <c r="F47" s="601"/>
      <c r="G47" s="601"/>
      <c r="H47" s="601"/>
      <c r="I47" s="602"/>
      <c r="J47" s="197"/>
      <c r="K47" s="197"/>
    </row>
    <row r="48" spans="1:11" ht="22.5" customHeight="1" x14ac:dyDescent="0.2">
      <c r="A48" s="275"/>
      <c r="B48" s="522" t="s">
        <v>236</v>
      </c>
      <c r="C48" s="523"/>
      <c r="D48" s="523"/>
      <c r="E48" s="523"/>
      <c r="F48" s="523"/>
      <c r="G48" s="523"/>
      <c r="H48" s="523"/>
      <c r="I48" s="524"/>
      <c r="J48" s="197"/>
      <c r="K48" s="197"/>
    </row>
    <row r="49" spans="1:11" ht="22.5" customHeight="1" x14ac:dyDescent="0.2">
      <c r="A49" s="275"/>
      <c r="B49" s="593" t="s">
        <v>281</v>
      </c>
      <c r="C49" s="218" t="s">
        <v>282</v>
      </c>
      <c r="D49" s="595" t="s">
        <v>283</v>
      </c>
      <c r="E49" s="595"/>
      <c r="F49" s="595"/>
      <c r="G49" s="595" t="s">
        <v>284</v>
      </c>
      <c r="H49" s="595"/>
      <c r="I49" s="596"/>
      <c r="J49" s="198"/>
      <c r="K49" s="198"/>
    </row>
    <row r="50" spans="1:11" ht="30.75" customHeight="1" x14ac:dyDescent="0.2">
      <c r="A50" s="275"/>
      <c r="B50" s="594"/>
      <c r="C50" s="279"/>
      <c r="D50" s="589"/>
      <c r="E50" s="589"/>
      <c r="F50" s="589"/>
      <c r="G50" s="589"/>
      <c r="H50" s="589"/>
      <c r="I50" s="590"/>
      <c r="J50" s="198"/>
      <c r="K50" s="198"/>
    </row>
    <row r="51" spans="1:11" ht="32.25" customHeight="1" x14ac:dyDescent="0.2">
      <c r="A51" s="275"/>
      <c r="B51" s="233" t="s">
        <v>285</v>
      </c>
      <c r="C51" s="589" t="s">
        <v>327</v>
      </c>
      <c r="D51" s="589"/>
      <c r="E51" s="589"/>
      <c r="F51" s="589"/>
      <c r="G51" s="589"/>
      <c r="H51" s="589"/>
      <c r="I51" s="590"/>
      <c r="J51" s="200"/>
      <c r="K51" s="200"/>
    </row>
    <row r="52" spans="1:11" ht="28.5" customHeight="1" x14ac:dyDescent="0.2">
      <c r="A52" s="275"/>
      <c r="B52" s="234" t="s">
        <v>286</v>
      </c>
      <c r="C52" s="589" t="s">
        <v>327</v>
      </c>
      <c r="D52" s="589"/>
      <c r="E52" s="589"/>
      <c r="F52" s="589"/>
      <c r="G52" s="589"/>
      <c r="H52" s="589"/>
      <c r="I52" s="590"/>
      <c r="J52" s="200"/>
      <c r="K52" s="200"/>
    </row>
    <row r="53" spans="1:11" ht="30" customHeight="1" x14ac:dyDescent="0.2">
      <c r="A53" s="275"/>
      <c r="B53" s="230" t="s">
        <v>287</v>
      </c>
      <c r="C53" s="589" t="s">
        <v>355</v>
      </c>
      <c r="D53" s="589"/>
      <c r="E53" s="589"/>
      <c r="F53" s="589"/>
      <c r="G53" s="589"/>
      <c r="H53" s="589"/>
      <c r="I53" s="590"/>
      <c r="J53" s="201"/>
      <c r="K53" s="201"/>
    </row>
    <row r="54" spans="1:11" ht="31.5" customHeight="1" thickBot="1" x14ac:dyDescent="0.25">
      <c r="A54" s="280"/>
      <c r="B54" s="211" t="s">
        <v>288</v>
      </c>
      <c r="C54" s="591" t="s">
        <v>374</v>
      </c>
      <c r="D54" s="591"/>
      <c r="E54" s="591"/>
      <c r="F54" s="591"/>
      <c r="G54" s="591"/>
      <c r="H54" s="591"/>
      <c r="I54" s="592"/>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0"/>
  <sheetViews>
    <sheetView view="pageBreakPreview" topLeftCell="B37" zoomScale="70" zoomScaleNormal="70" zoomScaleSheetLayoutView="70"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10"/>
      <c r="C1" s="603" t="s">
        <v>25</v>
      </c>
      <c r="D1" s="603"/>
      <c r="E1" s="603"/>
      <c r="F1" s="603"/>
      <c r="G1" s="603"/>
      <c r="H1" s="603"/>
      <c r="I1" s="514"/>
      <c r="J1" s="170"/>
      <c r="K1" s="170"/>
      <c r="M1" s="172" t="s">
        <v>47</v>
      </c>
    </row>
    <row r="2" spans="2:14" ht="37.5" customHeight="1" x14ac:dyDescent="0.2">
      <c r="B2" s="511"/>
      <c r="C2" s="517" t="s">
        <v>239</v>
      </c>
      <c r="D2" s="517"/>
      <c r="E2" s="517"/>
      <c r="F2" s="517"/>
      <c r="G2" s="517"/>
      <c r="H2" s="517"/>
      <c r="I2" s="515"/>
      <c r="J2" s="170"/>
      <c r="K2" s="170"/>
      <c r="M2" s="172" t="s">
        <v>48</v>
      </c>
    </row>
    <row r="3" spans="2:14" ht="37.5" customHeight="1" thickBot="1" x14ac:dyDescent="0.25">
      <c r="B3" s="512"/>
      <c r="C3" s="518" t="s">
        <v>240</v>
      </c>
      <c r="D3" s="518"/>
      <c r="E3" s="518"/>
      <c r="F3" s="518" t="s">
        <v>241</v>
      </c>
      <c r="G3" s="518"/>
      <c r="H3" s="518"/>
      <c r="I3" s="516"/>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row>
    <row r="6" spans="2:14" ht="30.75" customHeight="1" x14ac:dyDescent="0.2">
      <c r="B6" s="224" t="s">
        <v>242</v>
      </c>
      <c r="C6" s="222">
        <v>2</v>
      </c>
      <c r="D6" s="525" t="s">
        <v>243</v>
      </c>
      <c r="E6" s="525"/>
      <c r="F6" s="526" t="s">
        <v>361</v>
      </c>
      <c r="G6" s="526"/>
      <c r="H6" s="526"/>
      <c r="I6" s="527"/>
      <c r="J6" s="177"/>
      <c r="K6" s="177"/>
      <c r="M6" s="172" t="s">
        <v>60</v>
      </c>
      <c r="N6" s="176"/>
    </row>
    <row r="7" spans="2:14" ht="30.75" customHeight="1" x14ac:dyDescent="0.2">
      <c r="B7" s="224" t="s">
        <v>244</v>
      </c>
      <c r="C7" s="222" t="s">
        <v>81</v>
      </c>
      <c r="D7" s="525" t="s">
        <v>245</v>
      </c>
      <c r="E7" s="525"/>
      <c r="F7" s="528" t="s">
        <v>292</v>
      </c>
      <c r="G7" s="528"/>
      <c r="H7" s="178" t="s">
        <v>246</v>
      </c>
      <c r="I7" s="223" t="s">
        <v>81</v>
      </c>
      <c r="J7" s="179"/>
      <c r="K7" s="179"/>
      <c r="M7" s="172" t="s">
        <v>65</v>
      </c>
      <c r="N7" s="176"/>
    </row>
    <row r="8" spans="2:14" ht="30.75" customHeight="1" x14ac:dyDescent="0.2">
      <c r="B8" s="224" t="s">
        <v>247</v>
      </c>
      <c r="C8" s="526" t="s">
        <v>289</v>
      </c>
      <c r="D8" s="526"/>
      <c r="E8" s="526"/>
      <c r="F8" s="526"/>
      <c r="G8" s="178" t="s">
        <v>248</v>
      </c>
      <c r="H8" s="531">
        <v>7550</v>
      </c>
      <c r="I8" s="532"/>
      <c r="J8" s="180"/>
      <c r="K8" s="180"/>
      <c r="M8" s="172" t="s">
        <v>69</v>
      </c>
      <c r="N8" s="176"/>
    </row>
    <row r="9" spans="2:14" ht="30.75" customHeight="1" x14ac:dyDescent="0.2">
      <c r="B9" s="224" t="s">
        <v>48</v>
      </c>
      <c r="C9" s="533" t="s">
        <v>60</v>
      </c>
      <c r="D9" s="533"/>
      <c r="E9" s="533"/>
      <c r="F9" s="533"/>
      <c r="G9" s="178" t="s">
        <v>249</v>
      </c>
      <c r="H9" s="534" t="s">
        <v>290</v>
      </c>
      <c r="I9" s="535"/>
      <c r="J9" s="181"/>
      <c r="K9" s="181"/>
      <c r="M9" s="182" t="s">
        <v>73</v>
      </c>
    </row>
    <row r="10" spans="2:14" ht="98.25" customHeight="1" x14ac:dyDescent="0.2">
      <c r="B10" s="224" t="s">
        <v>250</v>
      </c>
      <c r="C10" s="526" t="s">
        <v>353</v>
      </c>
      <c r="D10" s="526"/>
      <c r="E10" s="526"/>
      <c r="F10" s="526"/>
      <c r="G10" s="526"/>
      <c r="H10" s="526"/>
      <c r="I10" s="527"/>
      <c r="J10" s="183"/>
      <c r="K10" s="183"/>
      <c r="M10" s="182"/>
    </row>
    <row r="11" spans="2:14" ht="30.75" customHeight="1" x14ac:dyDescent="0.2">
      <c r="B11" s="224" t="s">
        <v>251</v>
      </c>
      <c r="C11" s="536" t="s">
        <v>291</v>
      </c>
      <c r="D11" s="536"/>
      <c r="E11" s="536"/>
      <c r="F11" s="536"/>
      <c r="G11" s="536"/>
      <c r="H11" s="536"/>
      <c r="I11" s="537"/>
      <c r="J11" s="179"/>
      <c r="K11" s="179"/>
      <c r="M11" s="182"/>
      <c r="N11" s="176"/>
    </row>
    <row r="12" spans="2:14" ht="30.75" customHeight="1" x14ac:dyDescent="0.2">
      <c r="B12" s="224" t="s">
        <v>254</v>
      </c>
      <c r="C12" s="529" t="s">
        <v>304</v>
      </c>
      <c r="D12" s="529"/>
      <c r="E12" s="529"/>
      <c r="F12" s="529"/>
      <c r="G12" s="178" t="s">
        <v>252</v>
      </c>
      <c r="H12" s="538" t="s">
        <v>91</v>
      </c>
      <c r="I12" s="539"/>
      <c r="J12" s="179"/>
      <c r="K12" s="179"/>
      <c r="M12" s="182" t="s">
        <v>80</v>
      </c>
      <c r="N12" s="176"/>
    </row>
    <row r="13" spans="2:14" ht="30.75" customHeight="1" x14ac:dyDescent="0.2">
      <c r="B13" s="224" t="s">
        <v>255</v>
      </c>
      <c r="C13" s="540" t="s">
        <v>330</v>
      </c>
      <c r="D13" s="540"/>
      <c r="E13" s="540"/>
      <c r="F13" s="540"/>
      <c r="G13" s="221" t="s">
        <v>253</v>
      </c>
      <c r="H13" s="538" t="s">
        <v>61</v>
      </c>
      <c r="I13" s="539"/>
      <c r="J13" s="179"/>
      <c r="K13" s="179"/>
      <c r="M13" s="182" t="s">
        <v>84</v>
      </c>
    </row>
    <row r="14" spans="2:14" ht="64.5" customHeight="1" x14ac:dyDescent="0.2">
      <c r="B14" s="224" t="s">
        <v>256</v>
      </c>
      <c r="C14" s="529" t="s">
        <v>389</v>
      </c>
      <c r="D14" s="529"/>
      <c r="E14" s="529"/>
      <c r="F14" s="529"/>
      <c r="G14" s="529"/>
      <c r="H14" s="529"/>
      <c r="I14" s="530"/>
      <c r="J14" s="183"/>
      <c r="K14" s="183"/>
      <c r="M14" s="182" t="s">
        <v>86</v>
      </c>
      <c r="N14" s="176"/>
    </row>
    <row r="15" spans="2:14" ht="30.75" customHeight="1" x14ac:dyDescent="0.2">
      <c r="B15" s="224" t="s">
        <v>257</v>
      </c>
      <c r="C15" s="529" t="s">
        <v>293</v>
      </c>
      <c r="D15" s="529"/>
      <c r="E15" s="529"/>
      <c r="F15" s="529"/>
      <c r="G15" s="529"/>
      <c r="H15" s="529"/>
      <c r="I15" s="530"/>
      <c r="J15" s="184"/>
      <c r="K15" s="184"/>
      <c r="M15" s="182" t="s">
        <v>88</v>
      </c>
      <c r="N15" s="176"/>
    </row>
    <row r="16" spans="2:14" ht="35.450000000000003" customHeight="1" x14ac:dyDescent="0.2">
      <c r="B16" s="224" t="s">
        <v>258</v>
      </c>
      <c r="C16" s="536" t="s">
        <v>329</v>
      </c>
      <c r="D16" s="536"/>
      <c r="E16" s="536"/>
      <c r="F16" s="536"/>
      <c r="G16" s="536"/>
      <c r="H16" s="536"/>
      <c r="I16" s="537"/>
      <c r="J16" s="185"/>
      <c r="K16" s="185"/>
      <c r="M16" s="182"/>
      <c r="N16" s="176"/>
    </row>
    <row r="17" spans="2:14" ht="30.75" customHeight="1" x14ac:dyDescent="0.2">
      <c r="B17" s="224" t="s">
        <v>259</v>
      </c>
      <c r="C17" s="528" t="s">
        <v>152</v>
      </c>
      <c r="D17" s="547"/>
      <c r="E17" s="547"/>
      <c r="F17" s="547"/>
      <c r="G17" s="547"/>
      <c r="H17" s="547"/>
      <c r="I17" s="548"/>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26" t="s">
        <v>302</v>
      </c>
      <c r="D19" s="526"/>
      <c r="E19" s="526"/>
      <c r="F19" s="526" t="s">
        <v>303</v>
      </c>
      <c r="G19" s="526"/>
      <c r="H19" s="526"/>
      <c r="I19" s="527"/>
      <c r="J19" s="185"/>
      <c r="K19" s="185"/>
      <c r="M19" s="182" t="s">
        <v>95</v>
      </c>
      <c r="N19" s="176"/>
    </row>
    <row r="20" spans="2:14" ht="39.75" customHeight="1" x14ac:dyDescent="0.2">
      <c r="B20" s="224" t="s">
        <v>266</v>
      </c>
      <c r="C20" s="553" t="s">
        <v>152</v>
      </c>
      <c r="D20" s="554"/>
      <c r="E20" s="555"/>
      <c r="F20" s="556" t="s">
        <v>152</v>
      </c>
      <c r="G20" s="556"/>
      <c r="H20" s="556"/>
      <c r="I20" s="557"/>
      <c r="J20" s="179"/>
      <c r="K20" s="179"/>
      <c r="M20" s="182"/>
      <c r="N20" s="176"/>
    </row>
    <row r="21" spans="2:14" ht="105" customHeight="1" x14ac:dyDescent="0.2">
      <c r="B21" s="224" t="s">
        <v>267</v>
      </c>
      <c r="C21" s="610" t="s">
        <v>390</v>
      </c>
      <c r="D21" s="611"/>
      <c r="E21" s="612"/>
      <c r="F21" s="613" t="s">
        <v>391</v>
      </c>
      <c r="G21" s="605"/>
      <c r="H21" s="605"/>
      <c r="I21" s="614"/>
      <c r="J21" s="184"/>
      <c r="K21" s="184"/>
      <c r="M21" s="188"/>
      <c r="N21" s="176"/>
    </row>
    <row r="22" spans="2:14" ht="23.25" customHeight="1" x14ac:dyDescent="0.2">
      <c r="B22" s="224" t="s">
        <v>268</v>
      </c>
      <c r="C22" s="604">
        <v>44197</v>
      </c>
      <c r="D22" s="615"/>
      <c r="E22" s="616"/>
      <c r="F22" s="178" t="s">
        <v>271</v>
      </c>
      <c r="G22" s="265">
        <v>8.5000000000000006E-2</v>
      </c>
      <c r="H22" s="178" t="s">
        <v>275</v>
      </c>
      <c r="I22" s="266">
        <v>8.5000000000000006E-2</v>
      </c>
      <c r="J22" s="189"/>
      <c r="K22" s="189"/>
      <c r="M22" s="188"/>
    </row>
    <row r="23" spans="2:14" ht="27" customHeight="1" x14ac:dyDescent="0.2">
      <c r="B23" s="224" t="s">
        <v>269</v>
      </c>
      <c r="C23" s="604">
        <v>44561</v>
      </c>
      <c r="D23" s="605"/>
      <c r="E23" s="606"/>
      <c r="F23" s="178" t="s">
        <v>272</v>
      </c>
      <c r="G23" s="607">
        <v>0.32</v>
      </c>
      <c r="H23" s="608"/>
      <c r="I23" s="609"/>
      <c r="J23" s="190"/>
      <c r="K23" s="190"/>
      <c r="M23" s="188"/>
    </row>
    <row r="24" spans="2:14" ht="30.75" customHeight="1" x14ac:dyDescent="0.2">
      <c r="B24" s="231" t="s">
        <v>270</v>
      </c>
      <c r="C24" s="617" t="s">
        <v>321</v>
      </c>
      <c r="D24" s="618"/>
      <c r="E24" s="619"/>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2">
        <f>0.083333*$G$23</f>
        <v>2.6666560000000002E-2</v>
      </c>
      <c r="D27" s="272">
        <f t="shared" ref="C27:D38" si="0">0.083333*$G$23</f>
        <v>2.6666560000000002E-2</v>
      </c>
      <c r="E27" s="263">
        <f>IF(OR(C27=0,C27=""),0,D27/C27)</f>
        <v>1</v>
      </c>
      <c r="F27" s="586">
        <f>SUM(C27:C38)</f>
        <v>0.31999872000000001</v>
      </c>
      <c r="G27" s="586">
        <f>SUM(D27:D38)</f>
        <v>0.2666656</v>
      </c>
      <c r="H27" s="264">
        <f>+(D27*100%)/$G$23</f>
        <v>8.3333000000000004E-2</v>
      </c>
      <c r="I27" s="620">
        <f>G27+I22</f>
        <v>0.35166560000000002</v>
      </c>
      <c r="J27" s="185"/>
      <c r="K27" s="185"/>
      <c r="M27" s="188"/>
    </row>
    <row r="28" spans="2:14" ht="15.6" customHeight="1" x14ac:dyDescent="0.2">
      <c r="B28" s="191" t="s">
        <v>114</v>
      </c>
      <c r="C28" s="272">
        <f t="shared" si="0"/>
        <v>2.6666560000000002E-2</v>
      </c>
      <c r="D28" s="272">
        <f t="shared" si="0"/>
        <v>2.6666560000000002E-2</v>
      </c>
      <c r="E28" s="263">
        <f t="shared" ref="E28:E38" si="1">IF(OR(C28=0,C28=""),0,D28/C28)</f>
        <v>1</v>
      </c>
      <c r="F28" s="587"/>
      <c r="G28" s="587"/>
      <c r="H28" s="264">
        <f>+IF(D28="","",((D28*100%)/$G$23)+H27)</f>
        <v>0.16666600000000001</v>
      </c>
      <c r="I28" s="621"/>
      <c r="J28" s="185"/>
      <c r="K28" s="185"/>
      <c r="M28" s="188"/>
    </row>
    <row r="29" spans="2:14" ht="15.6" customHeight="1" x14ac:dyDescent="0.2">
      <c r="B29" s="191" t="s">
        <v>115</v>
      </c>
      <c r="C29" s="272">
        <f t="shared" si="0"/>
        <v>2.6666560000000002E-2</v>
      </c>
      <c r="D29" s="272">
        <f t="shared" si="0"/>
        <v>2.6666560000000002E-2</v>
      </c>
      <c r="E29" s="263">
        <f t="shared" si="1"/>
        <v>1</v>
      </c>
      <c r="F29" s="587"/>
      <c r="G29" s="587"/>
      <c r="H29" s="264">
        <f t="shared" ref="H29:H38" si="2">+IF(D29="","",((D29*100%)/$G$23)+H28)</f>
        <v>0.24999900000000003</v>
      </c>
      <c r="I29" s="621"/>
      <c r="J29" s="185"/>
      <c r="K29" s="185"/>
      <c r="M29" s="188"/>
    </row>
    <row r="30" spans="2:14" ht="15.6" customHeight="1" x14ac:dyDescent="0.2">
      <c r="B30" s="191" t="s">
        <v>116</v>
      </c>
      <c r="C30" s="272">
        <f t="shared" si="0"/>
        <v>2.6666560000000002E-2</v>
      </c>
      <c r="D30" s="272">
        <f t="shared" si="0"/>
        <v>2.6666560000000002E-2</v>
      </c>
      <c r="E30" s="263">
        <f t="shared" si="1"/>
        <v>1</v>
      </c>
      <c r="F30" s="587"/>
      <c r="G30" s="587"/>
      <c r="H30" s="264">
        <f t="shared" si="2"/>
        <v>0.33333200000000002</v>
      </c>
      <c r="I30" s="621"/>
      <c r="J30" s="185"/>
      <c r="K30" s="185"/>
      <c r="M30" s="188"/>
    </row>
    <row r="31" spans="2:14" ht="15.6" customHeight="1" x14ac:dyDescent="0.2">
      <c r="B31" s="191" t="s">
        <v>117</v>
      </c>
      <c r="C31" s="272">
        <f t="shared" si="0"/>
        <v>2.6666560000000002E-2</v>
      </c>
      <c r="D31" s="272">
        <f t="shared" si="0"/>
        <v>2.6666560000000002E-2</v>
      </c>
      <c r="E31" s="263">
        <f t="shared" si="1"/>
        <v>1</v>
      </c>
      <c r="F31" s="587"/>
      <c r="G31" s="587"/>
      <c r="H31" s="264">
        <f t="shared" si="2"/>
        <v>0.41666500000000001</v>
      </c>
      <c r="I31" s="621"/>
      <c r="J31" s="185"/>
      <c r="K31" s="185"/>
      <c r="M31" s="188"/>
    </row>
    <row r="32" spans="2:14" ht="15.6" customHeight="1" x14ac:dyDescent="0.2">
      <c r="B32" s="191" t="s">
        <v>118</v>
      </c>
      <c r="C32" s="272">
        <f t="shared" si="0"/>
        <v>2.6666560000000002E-2</v>
      </c>
      <c r="D32" s="272">
        <f t="shared" si="0"/>
        <v>2.6666560000000002E-2</v>
      </c>
      <c r="E32" s="263">
        <f t="shared" si="1"/>
        <v>1</v>
      </c>
      <c r="F32" s="587"/>
      <c r="G32" s="587"/>
      <c r="H32" s="264">
        <f t="shared" si="2"/>
        <v>0.499998</v>
      </c>
      <c r="I32" s="621"/>
      <c r="J32" s="185"/>
      <c r="K32" s="185"/>
      <c r="M32" s="188"/>
    </row>
    <row r="33" spans="2:11" ht="19.5" customHeight="1" x14ac:dyDescent="0.2">
      <c r="B33" s="191" t="s">
        <v>119</v>
      </c>
      <c r="C33" s="272">
        <f t="shared" si="0"/>
        <v>2.6666560000000002E-2</v>
      </c>
      <c r="D33" s="272">
        <f t="shared" si="0"/>
        <v>2.6666560000000002E-2</v>
      </c>
      <c r="E33" s="263">
        <f t="shared" si="1"/>
        <v>1</v>
      </c>
      <c r="F33" s="587"/>
      <c r="G33" s="587"/>
      <c r="H33" s="264">
        <f t="shared" si="2"/>
        <v>0.58333100000000004</v>
      </c>
      <c r="I33" s="621"/>
      <c r="J33" s="195"/>
      <c r="K33" s="195"/>
    </row>
    <row r="34" spans="2:11" ht="19.5" customHeight="1" x14ac:dyDescent="0.2">
      <c r="B34" s="191" t="s">
        <v>120</v>
      </c>
      <c r="C34" s="272">
        <f t="shared" si="0"/>
        <v>2.6666560000000002E-2</v>
      </c>
      <c r="D34" s="272">
        <f t="shared" si="0"/>
        <v>2.6666560000000002E-2</v>
      </c>
      <c r="E34" s="263">
        <f t="shared" si="1"/>
        <v>1</v>
      </c>
      <c r="F34" s="587"/>
      <c r="G34" s="587"/>
      <c r="H34" s="264">
        <f t="shared" si="2"/>
        <v>0.66666400000000003</v>
      </c>
      <c r="I34" s="621"/>
      <c r="J34" s="195"/>
      <c r="K34" s="195"/>
    </row>
    <row r="35" spans="2:11" ht="19.5" customHeight="1" x14ac:dyDescent="0.2">
      <c r="B35" s="191" t="s">
        <v>121</v>
      </c>
      <c r="C35" s="272">
        <f t="shared" si="0"/>
        <v>2.6666560000000002E-2</v>
      </c>
      <c r="D35" s="272">
        <f t="shared" si="0"/>
        <v>2.6666560000000002E-2</v>
      </c>
      <c r="E35" s="263">
        <f t="shared" si="1"/>
        <v>1</v>
      </c>
      <c r="F35" s="587"/>
      <c r="G35" s="587"/>
      <c r="H35" s="264">
        <f t="shared" si="2"/>
        <v>0.74999700000000002</v>
      </c>
      <c r="I35" s="621"/>
      <c r="J35" s="195"/>
      <c r="K35" s="195"/>
    </row>
    <row r="36" spans="2:11" ht="19.5" customHeight="1" x14ac:dyDescent="0.2">
      <c r="B36" s="191" t="s">
        <v>122</v>
      </c>
      <c r="C36" s="272">
        <f t="shared" si="0"/>
        <v>2.6666560000000002E-2</v>
      </c>
      <c r="D36" s="272">
        <f t="shared" si="0"/>
        <v>2.6666560000000002E-2</v>
      </c>
      <c r="E36" s="263">
        <f t="shared" si="1"/>
        <v>1</v>
      </c>
      <c r="F36" s="587"/>
      <c r="G36" s="587"/>
      <c r="H36" s="264">
        <f t="shared" si="2"/>
        <v>0.83333000000000002</v>
      </c>
      <c r="I36" s="621"/>
      <c r="J36" s="195"/>
      <c r="K36" s="195"/>
    </row>
    <row r="37" spans="2:11" ht="19.5" customHeight="1" x14ac:dyDescent="0.2">
      <c r="B37" s="191" t="s">
        <v>123</v>
      </c>
      <c r="C37" s="272">
        <f t="shared" si="0"/>
        <v>2.6666560000000002E-2</v>
      </c>
      <c r="D37" s="273"/>
      <c r="E37" s="263">
        <f t="shared" si="1"/>
        <v>0</v>
      </c>
      <c r="F37" s="587"/>
      <c r="G37" s="587"/>
      <c r="H37" s="264" t="str">
        <f t="shared" si="2"/>
        <v/>
      </c>
      <c r="I37" s="621"/>
      <c r="J37" s="195"/>
      <c r="K37" s="195"/>
    </row>
    <row r="38" spans="2:11" ht="19.5" customHeight="1" x14ac:dyDescent="0.2">
      <c r="B38" s="191" t="s">
        <v>124</v>
      </c>
      <c r="C38" s="272">
        <f t="shared" si="0"/>
        <v>2.6666560000000002E-2</v>
      </c>
      <c r="D38" s="273"/>
      <c r="E38" s="263">
        <f t="shared" si="1"/>
        <v>0</v>
      </c>
      <c r="F38" s="588"/>
      <c r="G38" s="588"/>
      <c r="H38" s="264" t="str">
        <f t="shared" si="2"/>
        <v/>
      </c>
      <c r="I38" s="622"/>
      <c r="J38" s="195"/>
      <c r="K38" s="195"/>
    </row>
    <row r="39" spans="2:11" ht="52.5" customHeight="1" x14ac:dyDescent="0.2">
      <c r="B39" s="229" t="s">
        <v>277</v>
      </c>
      <c r="C39" s="623" t="s">
        <v>407</v>
      </c>
      <c r="D39" s="624"/>
      <c r="E39" s="624"/>
      <c r="F39" s="624"/>
      <c r="G39" s="624"/>
      <c r="H39" s="624"/>
      <c r="I39" s="625"/>
      <c r="J39" s="196"/>
      <c r="K39" s="196"/>
    </row>
    <row r="40" spans="2:11" ht="34.5" customHeight="1" x14ac:dyDescent="0.2">
      <c r="B40" s="571"/>
      <c r="C40" s="572"/>
      <c r="D40" s="572"/>
      <c r="E40" s="572"/>
      <c r="F40" s="572"/>
      <c r="G40" s="572"/>
      <c r="H40" s="572"/>
      <c r="I40" s="573"/>
      <c r="J40" s="175"/>
      <c r="K40" s="175"/>
    </row>
    <row r="41" spans="2:11" ht="34.5" customHeight="1" x14ac:dyDescent="0.2">
      <c r="B41" s="574"/>
      <c r="C41" s="575"/>
      <c r="D41" s="575"/>
      <c r="E41" s="575"/>
      <c r="F41" s="575"/>
      <c r="G41" s="575"/>
      <c r="H41" s="575"/>
      <c r="I41" s="576"/>
      <c r="J41" s="196"/>
      <c r="K41" s="196"/>
    </row>
    <row r="42" spans="2:11" ht="34.5" customHeight="1" x14ac:dyDescent="0.2">
      <c r="B42" s="574"/>
      <c r="C42" s="575"/>
      <c r="D42" s="575"/>
      <c r="E42" s="575"/>
      <c r="F42" s="575"/>
      <c r="G42" s="575"/>
      <c r="H42" s="575"/>
      <c r="I42" s="576"/>
      <c r="J42" s="196"/>
      <c r="K42" s="196"/>
    </row>
    <row r="43" spans="2:11" ht="34.5" customHeight="1" x14ac:dyDescent="0.2">
      <c r="B43" s="574"/>
      <c r="C43" s="575"/>
      <c r="D43" s="575"/>
      <c r="E43" s="575"/>
      <c r="F43" s="575"/>
      <c r="G43" s="575"/>
      <c r="H43" s="575"/>
      <c r="I43" s="576"/>
      <c r="J43" s="196"/>
      <c r="K43" s="196"/>
    </row>
    <row r="44" spans="2:11" ht="34.5" customHeight="1" x14ac:dyDescent="0.2">
      <c r="B44" s="577"/>
      <c r="C44" s="578"/>
      <c r="D44" s="578"/>
      <c r="E44" s="578"/>
      <c r="F44" s="578"/>
      <c r="G44" s="578"/>
      <c r="H44" s="578"/>
      <c r="I44" s="579"/>
      <c r="J44" s="174"/>
      <c r="K44" s="174"/>
    </row>
    <row r="45" spans="2:11" ht="259.5" customHeight="1" x14ac:dyDescent="0.2">
      <c r="B45" s="224" t="s">
        <v>278</v>
      </c>
      <c r="C45" s="597" t="s">
        <v>408</v>
      </c>
      <c r="D45" s="598"/>
      <c r="E45" s="598"/>
      <c r="F45" s="598"/>
      <c r="G45" s="598"/>
      <c r="H45" s="598"/>
      <c r="I45" s="599"/>
      <c r="J45" s="197"/>
      <c r="K45" s="197"/>
    </row>
    <row r="46" spans="2:11" ht="46.5" customHeight="1" x14ac:dyDescent="0.2">
      <c r="B46" s="224" t="s">
        <v>279</v>
      </c>
      <c r="C46" s="597" t="s">
        <v>398</v>
      </c>
      <c r="D46" s="598"/>
      <c r="E46" s="598"/>
      <c r="F46" s="598"/>
      <c r="G46" s="598"/>
      <c r="H46" s="598"/>
      <c r="I46" s="599"/>
      <c r="J46" s="197"/>
      <c r="K46" s="197"/>
    </row>
    <row r="47" spans="2:11" ht="198.75" customHeight="1" x14ac:dyDescent="0.2">
      <c r="B47" s="230" t="s">
        <v>280</v>
      </c>
      <c r="C47" s="626" t="s">
        <v>409</v>
      </c>
      <c r="D47" s="627"/>
      <c r="E47" s="627"/>
      <c r="F47" s="627"/>
      <c r="G47" s="627"/>
      <c r="H47" s="627"/>
      <c r="I47" s="628"/>
      <c r="J47" s="197"/>
      <c r="K47" s="197"/>
    </row>
    <row r="48" spans="2:11" ht="22.5" customHeight="1" x14ac:dyDescent="0.2">
      <c r="B48" s="522" t="s">
        <v>236</v>
      </c>
      <c r="C48" s="523"/>
      <c r="D48" s="523"/>
      <c r="E48" s="523"/>
      <c r="F48" s="523"/>
      <c r="G48" s="523"/>
      <c r="H48" s="523"/>
      <c r="I48" s="524"/>
      <c r="J48" s="197"/>
      <c r="K48" s="197"/>
    </row>
    <row r="49" spans="2:11" ht="22.5" customHeight="1" x14ac:dyDescent="0.2">
      <c r="B49" s="593" t="s">
        <v>281</v>
      </c>
      <c r="C49" s="218" t="s">
        <v>282</v>
      </c>
      <c r="D49" s="595" t="s">
        <v>283</v>
      </c>
      <c r="E49" s="595"/>
      <c r="F49" s="595"/>
      <c r="G49" s="595" t="s">
        <v>284</v>
      </c>
      <c r="H49" s="595"/>
      <c r="I49" s="596"/>
      <c r="J49" s="198"/>
      <c r="K49" s="198"/>
    </row>
    <row r="50" spans="2:11" ht="30.75" customHeight="1" x14ac:dyDescent="0.2">
      <c r="B50" s="594"/>
      <c r="C50" s="232"/>
      <c r="D50" s="634"/>
      <c r="E50" s="634"/>
      <c r="F50" s="634"/>
      <c r="G50" s="634"/>
      <c r="H50" s="634"/>
      <c r="I50" s="635"/>
      <c r="J50" s="198"/>
      <c r="K50" s="198"/>
    </row>
    <row r="51" spans="2:11" ht="32.25" customHeight="1" x14ac:dyDescent="0.2">
      <c r="B51" s="233" t="s">
        <v>285</v>
      </c>
      <c r="C51" s="629" t="s">
        <v>328</v>
      </c>
      <c r="D51" s="629"/>
      <c r="E51" s="629"/>
      <c r="F51" s="629"/>
      <c r="G51" s="629"/>
      <c r="H51" s="629"/>
      <c r="I51" s="630"/>
      <c r="J51" s="200"/>
      <c r="K51" s="200"/>
    </row>
    <row r="52" spans="2:11" ht="28.5" customHeight="1" x14ac:dyDescent="0.2">
      <c r="B52" s="234" t="s">
        <v>286</v>
      </c>
      <c r="C52" s="629" t="s">
        <v>356</v>
      </c>
      <c r="D52" s="629"/>
      <c r="E52" s="629"/>
      <c r="F52" s="629"/>
      <c r="G52" s="629"/>
      <c r="H52" s="629"/>
      <c r="I52" s="630"/>
      <c r="J52" s="200"/>
      <c r="K52" s="200"/>
    </row>
    <row r="53" spans="2:11" ht="30" customHeight="1" x14ac:dyDescent="0.2">
      <c r="B53" s="230" t="s">
        <v>287</v>
      </c>
      <c r="C53" s="629" t="s">
        <v>355</v>
      </c>
      <c r="D53" s="629"/>
      <c r="E53" s="629"/>
      <c r="F53" s="629"/>
      <c r="G53" s="629"/>
      <c r="H53" s="629"/>
      <c r="I53" s="630"/>
      <c r="J53" s="201"/>
      <c r="K53" s="201"/>
    </row>
    <row r="54" spans="2:11" ht="31.5" customHeight="1" thickBot="1" x14ac:dyDescent="0.25">
      <c r="B54" s="211" t="s">
        <v>288</v>
      </c>
      <c r="C54" s="631" t="s">
        <v>374</v>
      </c>
      <c r="D54" s="632"/>
      <c r="E54" s="632"/>
      <c r="F54" s="632"/>
      <c r="G54" s="632"/>
      <c r="H54" s="632"/>
      <c r="I54" s="633"/>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C52:I52"/>
    <mergeCell ref="C53:I53"/>
    <mergeCell ref="C54:I54"/>
    <mergeCell ref="C51:I51"/>
    <mergeCell ref="B49:B50"/>
    <mergeCell ref="D49:F49"/>
    <mergeCell ref="G49:I49"/>
    <mergeCell ref="D50:F50"/>
    <mergeCell ref="G50:I50"/>
    <mergeCell ref="B48:I48"/>
    <mergeCell ref="C24:E24"/>
    <mergeCell ref="G24:I24"/>
    <mergeCell ref="B25:I25"/>
    <mergeCell ref="F27:F38"/>
    <mergeCell ref="G27:G38"/>
    <mergeCell ref="I27:I38"/>
    <mergeCell ref="C39:I39"/>
    <mergeCell ref="B40:I44"/>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C42" zoomScale="85" zoomScaleNormal="85" zoomScaleSheetLayoutView="85" workbookViewId="0">
      <selection activeCell="G27" sqref="G27:G38"/>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10"/>
      <c r="C1" s="513" t="s">
        <v>25</v>
      </c>
      <c r="D1" s="513"/>
      <c r="E1" s="513"/>
      <c r="F1" s="513"/>
      <c r="G1" s="513"/>
      <c r="H1" s="513"/>
      <c r="I1" s="514"/>
      <c r="J1" s="170"/>
      <c r="K1" s="170"/>
      <c r="M1" s="172" t="s">
        <v>47</v>
      </c>
    </row>
    <row r="2" spans="2:14" ht="37.5" customHeight="1" x14ac:dyDescent="0.2">
      <c r="B2" s="511"/>
      <c r="C2" s="636" t="s">
        <v>239</v>
      </c>
      <c r="D2" s="636"/>
      <c r="E2" s="636"/>
      <c r="F2" s="636"/>
      <c r="G2" s="636"/>
      <c r="H2" s="636"/>
      <c r="I2" s="515"/>
      <c r="J2" s="170"/>
      <c r="K2" s="170"/>
      <c r="M2" s="172" t="s">
        <v>48</v>
      </c>
    </row>
    <row r="3" spans="2:14" ht="37.5" customHeight="1" x14ac:dyDescent="0.2">
      <c r="B3" s="511"/>
      <c r="C3" s="636" t="s">
        <v>240</v>
      </c>
      <c r="D3" s="636"/>
      <c r="E3" s="636"/>
      <c r="F3" s="636" t="s">
        <v>241</v>
      </c>
      <c r="G3" s="636"/>
      <c r="H3" s="636"/>
      <c r="I3" s="515"/>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30.75" customHeight="1" x14ac:dyDescent="0.2">
      <c r="B6" s="224" t="s">
        <v>242</v>
      </c>
      <c r="C6" s="219">
        <v>3</v>
      </c>
      <c r="D6" s="525" t="s">
        <v>243</v>
      </c>
      <c r="E6" s="525"/>
      <c r="F6" s="526" t="s">
        <v>331</v>
      </c>
      <c r="G6" s="526"/>
      <c r="H6" s="526"/>
      <c r="I6" s="527"/>
      <c r="J6" s="177"/>
      <c r="K6" s="177"/>
      <c r="M6" s="172" t="s">
        <v>60</v>
      </c>
      <c r="N6" s="176" t="s">
        <v>61</v>
      </c>
    </row>
    <row r="7" spans="2:14" ht="30.75" customHeight="1" x14ac:dyDescent="0.2">
      <c r="B7" s="224" t="s">
        <v>244</v>
      </c>
      <c r="C7" s="219" t="s">
        <v>81</v>
      </c>
      <c r="D7" s="525" t="s">
        <v>245</v>
      </c>
      <c r="E7" s="525"/>
      <c r="F7" s="526" t="s">
        <v>332</v>
      </c>
      <c r="G7" s="526"/>
      <c r="H7" s="178" t="s">
        <v>246</v>
      </c>
      <c r="I7" s="220"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637" t="s">
        <v>69</v>
      </c>
      <c r="D9" s="637"/>
      <c r="E9" s="637"/>
      <c r="F9" s="637"/>
      <c r="G9" s="178" t="s">
        <v>249</v>
      </c>
      <c r="H9" s="534" t="s">
        <v>333</v>
      </c>
      <c r="I9" s="535"/>
      <c r="J9" s="181"/>
      <c r="K9" s="181"/>
      <c r="M9" s="182" t="s">
        <v>73</v>
      </c>
    </row>
    <row r="10" spans="2:14" ht="60.75" customHeight="1" x14ac:dyDescent="0.2">
      <c r="B10" s="224" t="s">
        <v>250</v>
      </c>
      <c r="C10" s="526" t="s">
        <v>352</v>
      </c>
      <c r="D10" s="526"/>
      <c r="E10" s="526"/>
      <c r="F10" s="526"/>
      <c r="G10" s="526"/>
      <c r="H10" s="526"/>
      <c r="I10" s="527"/>
      <c r="J10" s="183"/>
      <c r="K10" s="183"/>
      <c r="M10" s="182"/>
    </row>
    <row r="11" spans="2:14" ht="30.75" customHeight="1" x14ac:dyDescent="0.2">
      <c r="B11" s="224" t="s">
        <v>251</v>
      </c>
      <c r="C11" s="526" t="s">
        <v>291</v>
      </c>
      <c r="D11" s="526"/>
      <c r="E11" s="526"/>
      <c r="F11" s="526"/>
      <c r="G11" s="526"/>
      <c r="H11" s="526"/>
      <c r="I11" s="527"/>
      <c r="J11" s="179"/>
      <c r="K11" s="179"/>
      <c r="M11" s="182"/>
      <c r="N11" s="176" t="s">
        <v>76</v>
      </c>
    </row>
    <row r="12" spans="2:14" ht="30.75" customHeight="1" x14ac:dyDescent="0.2">
      <c r="B12" s="224" t="s">
        <v>254</v>
      </c>
      <c r="C12" s="529" t="s">
        <v>334</v>
      </c>
      <c r="D12" s="529"/>
      <c r="E12" s="529"/>
      <c r="F12" s="529"/>
      <c r="G12" s="178" t="s">
        <v>252</v>
      </c>
      <c r="H12" s="529" t="s">
        <v>91</v>
      </c>
      <c r="I12" s="530"/>
      <c r="J12" s="179"/>
      <c r="K12" s="179"/>
      <c r="M12" s="182" t="s">
        <v>80</v>
      </c>
      <c r="N12" s="176" t="s">
        <v>81</v>
      </c>
    </row>
    <row r="13" spans="2:14" ht="30.75" customHeight="1" x14ac:dyDescent="0.2">
      <c r="B13" s="224" t="s">
        <v>255</v>
      </c>
      <c r="C13" s="638" t="s">
        <v>335</v>
      </c>
      <c r="D13" s="638"/>
      <c r="E13" s="638"/>
      <c r="F13" s="638"/>
      <c r="G13" s="178" t="s">
        <v>253</v>
      </c>
      <c r="H13" s="526" t="s">
        <v>70</v>
      </c>
      <c r="I13" s="527"/>
      <c r="J13" s="179"/>
      <c r="K13" s="179"/>
      <c r="M13" s="182" t="s">
        <v>84</v>
      </c>
    </row>
    <row r="14" spans="2:14" ht="64.5" customHeight="1" x14ac:dyDescent="0.2">
      <c r="B14" s="224" t="s">
        <v>256</v>
      </c>
      <c r="C14" s="639" t="s">
        <v>336</v>
      </c>
      <c r="D14" s="639"/>
      <c r="E14" s="639"/>
      <c r="F14" s="639"/>
      <c r="G14" s="639"/>
      <c r="H14" s="639"/>
      <c r="I14" s="640"/>
      <c r="J14" s="183"/>
      <c r="K14" s="183"/>
      <c r="M14" s="182" t="s">
        <v>86</v>
      </c>
      <c r="N14" s="176"/>
    </row>
    <row r="15" spans="2:14" ht="30.75" customHeight="1" x14ac:dyDescent="0.2">
      <c r="B15" s="224" t="s">
        <v>257</v>
      </c>
      <c r="C15" s="529" t="s">
        <v>337</v>
      </c>
      <c r="D15" s="529"/>
      <c r="E15" s="529"/>
      <c r="F15" s="529"/>
      <c r="G15" s="529"/>
      <c r="H15" s="529"/>
      <c r="I15" s="530"/>
      <c r="J15" s="184"/>
      <c r="K15" s="184"/>
      <c r="M15" s="182" t="s">
        <v>88</v>
      </c>
      <c r="N15" s="176"/>
    </row>
    <row r="16" spans="2:14" ht="20.25" customHeight="1" x14ac:dyDescent="0.2">
      <c r="B16" s="224" t="s">
        <v>258</v>
      </c>
      <c r="C16" s="526" t="s">
        <v>338</v>
      </c>
      <c r="D16" s="526"/>
      <c r="E16" s="526"/>
      <c r="F16" s="526"/>
      <c r="G16" s="526"/>
      <c r="H16" s="526"/>
      <c r="I16" s="527"/>
      <c r="J16" s="185"/>
      <c r="K16" s="185"/>
      <c r="M16" s="182"/>
      <c r="N16" s="176"/>
    </row>
    <row r="17" spans="2:14" ht="30.75" customHeight="1" x14ac:dyDescent="0.2">
      <c r="B17" s="224" t="s">
        <v>259</v>
      </c>
      <c r="C17" s="526" t="s">
        <v>152</v>
      </c>
      <c r="D17" s="646"/>
      <c r="E17" s="646"/>
      <c r="F17" s="646"/>
      <c r="G17" s="646"/>
      <c r="H17" s="646"/>
      <c r="I17" s="647"/>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26" t="s">
        <v>339</v>
      </c>
      <c r="D19" s="526"/>
      <c r="E19" s="526"/>
      <c r="F19" s="526" t="s">
        <v>340</v>
      </c>
      <c r="G19" s="526"/>
      <c r="H19" s="526"/>
      <c r="I19" s="527"/>
      <c r="J19" s="185"/>
      <c r="K19" s="185"/>
      <c r="M19" s="182" t="s">
        <v>95</v>
      </c>
      <c r="N19" s="176"/>
    </row>
    <row r="20" spans="2:14" ht="39.75" customHeight="1" x14ac:dyDescent="0.2">
      <c r="B20" s="224" t="s">
        <v>266</v>
      </c>
      <c r="C20" s="561" t="s">
        <v>152</v>
      </c>
      <c r="D20" s="562"/>
      <c r="E20" s="642"/>
      <c r="F20" s="529" t="s">
        <v>152</v>
      </c>
      <c r="G20" s="529"/>
      <c r="H20" s="529"/>
      <c r="I20" s="530"/>
      <c r="J20" s="179"/>
      <c r="K20" s="179"/>
      <c r="M20" s="182"/>
      <c r="N20" s="176"/>
    </row>
    <row r="21" spans="2:14" ht="42" customHeight="1" x14ac:dyDescent="0.2">
      <c r="B21" s="224" t="s">
        <v>267</v>
      </c>
      <c r="C21" s="558" t="s">
        <v>341</v>
      </c>
      <c r="D21" s="559"/>
      <c r="E21" s="560"/>
      <c r="F21" s="561" t="s">
        <v>342</v>
      </c>
      <c r="G21" s="562"/>
      <c r="H21" s="562"/>
      <c r="I21" s="563"/>
      <c r="J21" s="184"/>
      <c r="K21" s="184"/>
      <c r="M21" s="188"/>
      <c r="N21" s="176"/>
    </row>
    <row r="22" spans="2:14" ht="23.25" customHeight="1" x14ac:dyDescent="0.2">
      <c r="B22" s="224" t="s">
        <v>268</v>
      </c>
      <c r="C22" s="641">
        <v>44197</v>
      </c>
      <c r="D22" s="648"/>
      <c r="E22" s="649"/>
      <c r="F22" s="178" t="s">
        <v>271</v>
      </c>
      <c r="G22" s="270">
        <v>0.1</v>
      </c>
      <c r="H22" s="178" t="s">
        <v>275</v>
      </c>
      <c r="I22" s="271">
        <v>0.1</v>
      </c>
      <c r="J22" s="189"/>
      <c r="K22" s="189"/>
      <c r="M22" s="188"/>
    </row>
    <row r="23" spans="2:14" ht="27" customHeight="1" x14ac:dyDescent="0.2">
      <c r="B23" s="224" t="s">
        <v>269</v>
      </c>
      <c r="C23" s="641">
        <v>44561</v>
      </c>
      <c r="D23" s="562"/>
      <c r="E23" s="642"/>
      <c r="F23" s="178" t="s">
        <v>272</v>
      </c>
      <c r="G23" s="643">
        <v>0.4</v>
      </c>
      <c r="H23" s="644"/>
      <c r="I23" s="645"/>
      <c r="J23" s="190"/>
      <c r="K23" s="190"/>
      <c r="M23" s="188"/>
    </row>
    <row r="24" spans="2:14" ht="30.75" customHeight="1" x14ac:dyDescent="0.2">
      <c r="B24" s="231" t="s">
        <v>270</v>
      </c>
      <c r="C24" s="659" t="s">
        <v>88</v>
      </c>
      <c r="D24" s="660"/>
      <c r="E24" s="661"/>
      <c r="F24" s="227" t="s">
        <v>274</v>
      </c>
      <c r="G24" s="561"/>
      <c r="H24" s="562"/>
      <c r="I24" s="563"/>
      <c r="J24" s="187"/>
      <c r="K24" s="187"/>
      <c r="M24" s="188"/>
    </row>
    <row r="25" spans="2:14" ht="22.5" customHeight="1" x14ac:dyDescent="0.2">
      <c r="B25" s="662" t="s">
        <v>235</v>
      </c>
      <c r="C25" s="663"/>
      <c r="D25" s="663"/>
      <c r="E25" s="663"/>
      <c r="F25" s="663"/>
      <c r="G25" s="663"/>
      <c r="H25" s="663"/>
      <c r="I25" s="664"/>
      <c r="J25" s="175"/>
      <c r="K25" s="175"/>
      <c r="M25" s="188"/>
    </row>
    <row r="26" spans="2:14" ht="43.5" customHeight="1" x14ac:dyDescent="0.2">
      <c r="B26" s="191" t="s">
        <v>105</v>
      </c>
      <c r="C26" s="221" t="s">
        <v>261</v>
      </c>
      <c r="D26" s="221" t="s">
        <v>260</v>
      </c>
      <c r="E26" s="192" t="s">
        <v>264</v>
      </c>
      <c r="F26" s="221" t="s">
        <v>263</v>
      </c>
      <c r="G26" s="221" t="s">
        <v>262</v>
      </c>
      <c r="H26" s="192" t="s">
        <v>343</v>
      </c>
      <c r="I26" s="193" t="s">
        <v>388</v>
      </c>
      <c r="J26" s="185"/>
      <c r="K26" s="185"/>
      <c r="M26" s="188"/>
    </row>
    <row r="27" spans="2:14" ht="19.5" customHeight="1" x14ac:dyDescent="0.2">
      <c r="B27" s="194" t="s">
        <v>113</v>
      </c>
      <c r="C27" s="299">
        <f>6.9%*G23</f>
        <v>2.7600000000000003E-2</v>
      </c>
      <c r="D27" s="295">
        <f>6.9%*G23</f>
        <v>2.7600000000000003E-2</v>
      </c>
      <c r="E27" s="300">
        <f>+D27/C27</f>
        <v>1</v>
      </c>
      <c r="F27" s="586">
        <f>SUM(C27:C38)</f>
        <v>0.40224000000000004</v>
      </c>
      <c r="G27" s="826">
        <f>SUM(D27:D38)</f>
        <v>0.33976000000000001</v>
      </c>
      <c r="H27" s="264">
        <f>+(D27*100%)/$G$23</f>
        <v>6.9000000000000006E-2</v>
      </c>
      <c r="I27" s="620">
        <f>G27+I22</f>
        <v>0.43976000000000004</v>
      </c>
      <c r="J27" s="195"/>
      <c r="K27" s="195"/>
      <c r="M27" s="188"/>
    </row>
    <row r="28" spans="2:14" ht="19.5" customHeight="1" x14ac:dyDescent="0.2">
      <c r="B28" s="194" t="s">
        <v>114</v>
      </c>
      <c r="C28" s="299">
        <f>4.3%*G23</f>
        <v>1.72E-2</v>
      </c>
      <c r="D28" s="295">
        <f>4.3%*G23</f>
        <v>1.72E-2</v>
      </c>
      <c r="E28" s="300">
        <f t="shared" ref="E28:E38" si="0">+D28/C28</f>
        <v>1</v>
      </c>
      <c r="F28" s="587"/>
      <c r="G28" s="827"/>
      <c r="H28" s="264">
        <f>+IF(D28="","",((D28*100%)/$G$23)+H27)</f>
        <v>0.112</v>
      </c>
      <c r="I28" s="621"/>
      <c r="J28" s="195"/>
      <c r="K28" s="195"/>
      <c r="M28" s="188"/>
    </row>
    <row r="29" spans="2:14" ht="19.5" customHeight="1" x14ac:dyDescent="0.2">
      <c r="B29" s="194" t="s">
        <v>115</v>
      </c>
      <c r="C29" s="301">
        <f>4%*G23</f>
        <v>1.6E-2</v>
      </c>
      <c r="D29" s="295">
        <f>+C29</f>
        <v>1.6E-2</v>
      </c>
      <c r="E29" s="300">
        <f t="shared" si="0"/>
        <v>1</v>
      </c>
      <c r="F29" s="587"/>
      <c r="G29" s="827"/>
      <c r="H29" s="264">
        <f t="shared" ref="H29:H38" si="1">+IF(D29="","",((D29*100%)/$G$23)+H28)</f>
        <v>0.152</v>
      </c>
      <c r="I29" s="621"/>
      <c r="J29" s="195"/>
      <c r="K29" s="195"/>
      <c r="M29" s="188"/>
    </row>
    <row r="30" spans="2:14" ht="19.5" customHeight="1" x14ac:dyDescent="0.2">
      <c r="B30" s="194" t="s">
        <v>116</v>
      </c>
      <c r="C30" s="301">
        <f>8.16%*G23</f>
        <v>3.2640000000000002E-2</v>
      </c>
      <c r="D30" s="295">
        <f>+G23*7.66%</f>
        <v>3.0640000000000001E-2</v>
      </c>
      <c r="E30" s="300">
        <f t="shared" si="0"/>
        <v>0.93872549019607843</v>
      </c>
      <c r="F30" s="587"/>
      <c r="G30" s="827"/>
      <c r="H30" s="264">
        <f t="shared" si="1"/>
        <v>0.2286</v>
      </c>
      <c r="I30" s="621"/>
      <c r="J30" s="195"/>
      <c r="K30" s="195"/>
    </row>
    <row r="31" spans="2:14" ht="19.5" customHeight="1" x14ac:dyDescent="0.2">
      <c r="B31" s="194" t="s">
        <v>117</v>
      </c>
      <c r="C31" s="301">
        <f>4.3%*G23</f>
        <v>1.72E-2</v>
      </c>
      <c r="D31" s="295">
        <f>4.2%*G23</f>
        <v>1.6800000000000002E-2</v>
      </c>
      <c r="E31" s="300">
        <f t="shared" si="0"/>
        <v>0.97674418604651181</v>
      </c>
      <c r="F31" s="587"/>
      <c r="G31" s="827"/>
      <c r="H31" s="264">
        <f t="shared" si="1"/>
        <v>0.27060000000000001</v>
      </c>
      <c r="I31" s="621"/>
      <c r="J31" s="195"/>
      <c r="K31" s="195"/>
    </row>
    <row r="32" spans="2:14" ht="19.5" customHeight="1" x14ac:dyDescent="0.2">
      <c r="B32" s="194" t="s">
        <v>118</v>
      </c>
      <c r="C32" s="301">
        <f>4%*G23</f>
        <v>1.6E-2</v>
      </c>
      <c r="D32" s="295">
        <f>3.4%*G23</f>
        <v>1.3600000000000001E-2</v>
      </c>
      <c r="E32" s="300">
        <f t="shared" si="0"/>
        <v>0.85000000000000009</v>
      </c>
      <c r="F32" s="587"/>
      <c r="G32" s="827"/>
      <c r="H32" s="264">
        <f t="shared" si="1"/>
        <v>0.30459999999999998</v>
      </c>
      <c r="I32" s="621"/>
      <c r="J32" s="195"/>
      <c r="K32" s="195"/>
    </row>
    <row r="33" spans="2:11" ht="19.5" customHeight="1" x14ac:dyDescent="0.2">
      <c r="B33" s="194" t="s">
        <v>119</v>
      </c>
      <c r="C33" s="301">
        <f>7.6%*G23</f>
        <v>3.04E-2</v>
      </c>
      <c r="D33" s="295">
        <f>9.99%*G23</f>
        <v>3.9960000000000002E-2</v>
      </c>
      <c r="E33" s="300">
        <f t="shared" si="0"/>
        <v>1.3144736842105265</v>
      </c>
      <c r="F33" s="587"/>
      <c r="G33" s="827"/>
      <c r="H33" s="264">
        <f t="shared" si="1"/>
        <v>0.40449999999999997</v>
      </c>
      <c r="I33" s="621"/>
      <c r="J33" s="195"/>
      <c r="K33" s="195"/>
    </row>
    <row r="34" spans="2:11" ht="19.5" customHeight="1" x14ac:dyDescent="0.2">
      <c r="B34" s="194" t="s">
        <v>120</v>
      </c>
      <c r="C34" s="301">
        <f>6.8%*G23</f>
        <v>2.7200000000000002E-2</v>
      </c>
      <c r="D34" s="295">
        <f>+C34</f>
        <v>2.7200000000000002E-2</v>
      </c>
      <c r="E34" s="300">
        <f t="shared" si="0"/>
        <v>1</v>
      </c>
      <c r="F34" s="587"/>
      <c r="G34" s="827"/>
      <c r="H34" s="264">
        <f t="shared" si="1"/>
        <v>0.47249999999999998</v>
      </c>
      <c r="I34" s="621"/>
      <c r="J34" s="195"/>
      <c r="K34" s="195"/>
    </row>
    <row r="35" spans="2:11" ht="19.5" customHeight="1" x14ac:dyDescent="0.2">
      <c r="B35" s="194" t="s">
        <v>121</v>
      </c>
      <c r="C35" s="301">
        <f>32.8%*G23</f>
        <v>0.13119999999999998</v>
      </c>
      <c r="D35" s="295">
        <f>0.3315*G23</f>
        <v>0.13260000000000002</v>
      </c>
      <c r="E35" s="300">
        <f t="shared" si="0"/>
        <v>1.0106707317073174</v>
      </c>
      <c r="F35" s="587"/>
      <c r="G35" s="827"/>
      <c r="H35" s="264">
        <f t="shared" si="1"/>
        <v>0.80400000000000005</v>
      </c>
      <c r="I35" s="621"/>
      <c r="J35" s="195"/>
      <c r="K35" s="195"/>
    </row>
    <row r="36" spans="2:11" ht="19.5" customHeight="1" x14ac:dyDescent="0.2">
      <c r="B36" s="194" t="s">
        <v>122</v>
      </c>
      <c r="C36" s="301">
        <f>7.2%*G23</f>
        <v>2.8800000000000006E-2</v>
      </c>
      <c r="D36" s="295">
        <f>4.54%*G23</f>
        <v>1.8160000000000003E-2</v>
      </c>
      <c r="E36" s="300">
        <f t="shared" si="0"/>
        <v>0.63055555555555554</v>
      </c>
      <c r="F36" s="587"/>
      <c r="G36" s="827"/>
      <c r="H36" s="264">
        <f t="shared" si="1"/>
        <v>0.84940000000000004</v>
      </c>
      <c r="I36" s="621"/>
      <c r="J36" s="195"/>
      <c r="K36" s="195"/>
    </row>
    <row r="37" spans="2:11" ht="19.5" customHeight="1" x14ac:dyDescent="0.2">
      <c r="B37" s="194" t="s">
        <v>123</v>
      </c>
      <c r="C37" s="301">
        <f>9.5%*G23</f>
        <v>3.8000000000000006E-2</v>
      </c>
      <c r="D37" s="295"/>
      <c r="E37" s="300">
        <f t="shared" si="0"/>
        <v>0</v>
      </c>
      <c r="F37" s="587"/>
      <c r="G37" s="827"/>
      <c r="H37" s="264" t="str">
        <f t="shared" si="1"/>
        <v/>
      </c>
      <c r="I37" s="621"/>
      <c r="J37" s="195"/>
      <c r="K37" s="195"/>
    </row>
    <row r="38" spans="2:11" ht="19.5" customHeight="1" x14ac:dyDescent="0.2">
      <c r="B38" s="194" t="s">
        <v>124</v>
      </c>
      <c r="C38" s="301">
        <f>5%*G23</f>
        <v>2.0000000000000004E-2</v>
      </c>
      <c r="D38" s="295"/>
      <c r="E38" s="300">
        <f t="shared" si="0"/>
        <v>0</v>
      </c>
      <c r="F38" s="588"/>
      <c r="G38" s="828"/>
      <c r="H38" s="264" t="str">
        <f t="shared" si="1"/>
        <v/>
      </c>
      <c r="I38" s="622"/>
      <c r="J38" s="195"/>
      <c r="K38" s="195"/>
    </row>
    <row r="39" spans="2:11" ht="186" customHeight="1" x14ac:dyDescent="0.2">
      <c r="B39" s="229" t="s">
        <v>277</v>
      </c>
      <c r="C39" s="823" t="s">
        <v>410</v>
      </c>
      <c r="D39" s="824"/>
      <c r="E39" s="824"/>
      <c r="F39" s="824"/>
      <c r="G39" s="824"/>
      <c r="H39" s="824"/>
      <c r="I39" s="825"/>
      <c r="J39" s="196"/>
      <c r="K39" s="196"/>
    </row>
    <row r="40" spans="2:11" ht="34.5" customHeight="1" x14ac:dyDescent="0.2">
      <c r="B40" s="571"/>
      <c r="C40" s="572"/>
      <c r="D40" s="572"/>
      <c r="E40" s="572"/>
      <c r="F40" s="572"/>
      <c r="G40" s="572"/>
      <c r="H40" s="572"/>
      <c r="I40" s="573"/>
      <c r="J40" s="175"/>
      <c r="K40" s="175"/>
    </row>
    <row r="41" spans="2:11" ht="34.5" customHeight="1" x14ac:dyDescent="0.2">
      <c r="B41" s="574"/>
      <c r="C41" s="575"/>
      <c r="D41" s="575"/>
      <c r="E41" s="575"/>
      <c r="F41" s="575"/>
      <c r="G41" s="575"/>
      <c r="H41" s="575"/>
      <c r="I41" s="576"/>
      <c r="J41" s="196"/>
      <c r="K41" s="196"/>
    </row>
    <row r="42" spans="2:11" ht="34.5" customHeight="1" x14ac:dyDescent="0.2">
      <c r="B42" s="574"/>
      <c r="C42" s="575"/>
      <c r="D42" s="575"/>
      <c r="E42" s="575"/>
      <c r="F42" s="575"/>
      <c r="G42" s="575"/>
      <c r="H42" s="575"/>
      <c r="I42" s="576"/>
      <c r="J42" s="196"/>
      <c r="K42" s="196"/>
    </row>
    <row r="43" spans="2:11" ht="34.5" customHeight="1" x14ac:dyDescent="0.2">
      <c r="B43" s="574"/>
      <c r="C43" s="575"/>
      <c r="D43" s="575"/>
      <c r="E43" s="575"/>
      <c r="F43" s="575"/>
      <c r="G43" s="575"/>
      <c r="H43" s="575"/>
      <c r="I43" s="576"/>
      <c r="J43" s="196"/>
      <c r="K43" s="196"/>
    </row>
    <row r="44" spans="2:11" ht="34.5" customHeight="1" x14ac:dyDescent="0.2">
      <c r="B44" s="577"/>
      <c r="C44" s="578"/>
      <c r="D44" s="578"/>
      <c r="E44" s="578"/>
      <c r="F44" s="578"/>
      <c r="G44" s="578"/>
      <c r="H44" s="578"/>
      <c r="I44" s="579"/>
      <c r="J44" s="174"/>
      <c r="K44" s="174"/>
    </row>
    <row r="45" spans="2:11" ht="166.5" customHeight="1" x14ac:dyDescent="0.2">
      <c r="B45" s="224" t="s">
        <v>278</v>
      </c>
      <c r="C45" s="665" t="s">
        <v>410</v>
      </c>
      <c r="D45" s="666"/>
      <c r="E45" s="666"/>
      <c r="F45" s="666"/>
      <c r="G45" s="666"/>
      <c r="H45" s="666"/>
      <c r="I45" s="667"/>
      <c r="J45" s="197"/>
      <c r="K45" s="197"/>
    </row>
    <row r="46" spans="2:11" ht="32.25" customHeight="1" x14ac:dyDescent="0.2">
      <c r="B46" s="224" t="s">
        <v>279</v>
      </c>
      <c r="C46" s="668" t="s">
        <v>396</v>
      </c>
      <c r="D46" s="669"/>
      <c r="E46" s="669"/>
      <c r="F46" s="669"/>
      <c r="G46" s="669"/>
      <c r="H46" s="669"/>
      <c r="I46" s="670"/>
      <c r="J46" s="197"/>
      <c r="K46" s="197"/>
    </row>
    <row r="47" spans="2:11" ht="66" customHeight="1" x14ac:dyDescent="0.2">
      <c r="B47" s="230" t="s">
        <v>280</v>
      </c>
      <c r="C47" s="671" t="s">
        <v>393</v>
      </c>
      <c r="D47" s="672"/>
      <c r="E47" s="672"/>
      <c r="F47" s="672"/>
      <c r="G47" s="672"/>
      <c r="H47" s="672"/>
      <c r="I47" s="673"/>
      <c r="J47" s="197"/>
      <c r="K47" s="197"/>
    </row>
    <row r="48" spans="2:11" ht="22.5" customHeight="1" x14ac:dyDescent="0.2">
      <c r="B48" s="662" t="s">
        <v>236</v>
      </c>
      <c r="C48" s="663"/>
      <c r="D48" s="663"/>
      <c r="E48" s="663"/>
      <c r="F48" s="663"/>
      <c r="G48" s="663"/>
      <c r="H48" s="663"/>
      <c r="I48" s="664"/>
      <c r="J48" s="197"/>
      <c r="K48" s="197"/>
    </row>
    <row r="49" spans="2:11" ht="22.5" customHeight="1" x14ac:dyDescent="0.2">
      <c r="B49" s="593" t="s">
        <v>281</v>
      </c>
      <c r="C49" s="218" t="s">
        <v>282</v>
      </c>
      <c r="D49" s="595" t="s">
        <v>283</v>
      </c>
      <c r="E49" s="595"/>
      <c r="F49" s="595"/>
      <c r="G49" s="595" t="s">
        <v>284</v>
      </c>
      <c r="H49" s="595"/>
      <c r="I49" s="596"/>
      <c r="J49" s="198"/>
      <c r="K49" s="198"/>
    </row>
    <row r="50" spans="2:11" ht="30.75" customHeight="1" x14ac:dyDescent="0.2">
      <c r="B50" s="594"/>
      <c r="C50" s="199"/>
      <c r="D50" s="634"/>
      <c r="E50" s="634"/>
      <c r="F50" s="634"/>
      <c r="G50" s="634"/>
      <c r="H50" s="634"/>
      <c r="I50" s="635"/>
      <c r="J50" s="198"/>
      <c r="K50" s="198"/>
    </row>
    <row r="51" spans="2:11" ht="32.25" customHeight="1" x14ac:dyDescent="0.2">
      <c r="B51" s="233" t="s">
        <v>285</v>
      </c>
      <c r="C51" s="657" t="s">
        <v>332</v>
      </c>
      <c r="D51" s="657"/>
      <c r="E51" s="657"/>
      <c r="F51" s="657"/>
      <c r="G51" s="657"/>
      <c r="H51" s="657"/>
      <c r="I51" s="658"/>
      <c r="J51" s="200"/>
      <c r="K51" s="200"/>
    </row>
    <row r="52" spans="2:11" ht="28.5" customHeight="1" x14ac:dyDescent="0.2">
      <c r="B52" s="234" t="s">
        <v>286</v>
      </c>
      <c r="C52" s="650" t="s">
        <v>405</v>
      </c>
      <c r="D52" s="651"/>
      <c r="E52" s="651"/>
      <c r="F52" s="651"/>
      <c r="G52" s="651"/>
      <c r="H52" s="651"/>
      <c r="I52" s="652"/>
      <c r="J52" s="200"/>
      <c r="K52" s="200"/>
    </row>
    <row r="53" spans="2:11" ht="30" customHeight="1" x14ac:dyDescent="0.2">
      <c r="B53" s="230" t="s">
        <v>287</v>
      </c>
      <c r="C53" s="653" t="s">
        <v>397</v>
      </c>
      <c r="D53" s="654"/>
      <c r="E53" s="654"/>
      <c r="F53" s="654"/>
      <c r="G53" s="654"/>
      <c r="H53" s="654"/>
      <c r="I53" s="655"/>
      <c r="J53" s="201"/>
      <c r="K53" s="201"/>
    </row>
    <row r="54" spans="2:11" ht="31.5" customHeight="1" thickBot="1" x14ac:dyDescent="0.25">
      <c r="B54" s="211" t="s">
        <v>288</v>
      </c>
      <c r="C54" s="653" t="s">
        <v>397</v>
      </c>
      <c r="D54" s="654"/>
      <c r="E54" s="654"/>
      <c r="F54" s="654"/>
      <c r="G54" s="654"/>
      <c r="H54" s="654"/>
      <c r="I54" s="656"/>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C19" zoomScale="70" zoomScaleNormal="100" zoomScaleSheetLayoutView="70" workbookViewId="0">
      <selection activeCell="C45" sqref="C45:I47"/>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10"/>
      <c r="C1" s="513" t="s">
        <v>25</v>
      </c>
      <c r="D1" s="513"/>
      <c r="E1" s="513"/>
      <c r="F1" s="513"/>
      <c r="G1" s="513"/>
      <c r="H1" s="513"/>
      <c r="I1" s="514"/>
      <c r="J1" s="235"/>
      <c r="K1" s="235"/>
      <c r="M1" s="236" t="s">
        <v>47</v>
      </c>
    </row>
    <row r="2" spans="2:14" ht="37.5" customHeight="1" x14ac:dyDescent="0.2">
      <c r="B2" s="511"/>
      <c r="C2" s="636" t="s">
        <v>239</v>
      </c>
      <c r="D2" s="636"/>
      <c r="E2" s="636"/>
      <c r="F2" s="636"/>
      <c r="G2" s="636"/>
      <c r="H2" s="636"/>
      <c r="I2" s="515"/>
      <c r="J2" s="235"/>
      <c r="K2" s="235"/>
      <c r="M2" s="236" t="s">
        <v>48</v>
      </c>
    </row>
    <row r="3" spans="2:14" ht="37.5" customHeight="1" x14ac:dyDescent="0.2">
      <c r="B3" s="511"/>
      <c r="C3" s="636" t="s">
        <v>240</v>
      </c>
      <c r="D3" s="636"/>
      <c r="E3" s="636"/>
      <c r="F3" s="636" t="s">
        <v>241</v>
      </c>
      <c r="G3" s="636"/>
      <c r="H3" s="636"/>
      <c r="I3" s="515"/>
      <c r="J3" s="235"/>
      <c r="K3" s="235"/>
      <c r="M3" s="236" t="s">
        <v>50</v>
      </c>
    </row>
    <row r="4" spans="2:14" ht="23.25" customHeight="1" x14ac:dyDescent="0.2">
      <c r="B4" s="519" t="s">
        <v>357</v>
      </c>
      <c r="C4" s="520"/>
      <c r="D4" s="520"/>
      <c r="E4" s="520"/>
      <c r="F4" s="520"/>
      <c r="G4" s="520"/>
      <c r="H4" s="520"/>
      <c r="I4" s="521"/>
      <c r="J4" s="237"/>
      <c r="K4" s="237"/>
    </row>
    <row r="5" spans="2:14" ht="24" customHeight="1" x14ac:dyDescent="0.2">
      <c r="B5" s="522" t="s">
        <v>234</v>
      </c>
      <c r="C5" s="523"/>
      <c r="D5" s="523"/>
      <c r="E5" s="523"/>
      <c r="F5" s="523"/>
      <c r="G5" s="523"/>
      <c r="H5" s="523"/>
      <c r="I5" s="524"/>
      <c r="J5" s="238"/>
      <c r="K5" s="238"/>
      <c r="N5" s="239" t="s">
        <v>57</v>
      </c>
    </row>
    <row r="6" spans="2:14" ht="30.75" customHeight="1" x14ac:dyDescent="0.2">
      <c r="B6" s="224" t="s">
        <v>242</v>
      </c>
      <c r="C6" s="267">
        <v>4</v>
      </c>
      <c r="D6" s="525" t="s">
        <v>243</v>
      </c>
      <c r="E6" s="525"/>
      <c r="F6" s="674" t="s">
        <v>362</v>
      </c>
      <c r="G6" s="674"/>
      <c r="H6" s="674"/>
      <c r="I6" s="675"/>
      <c r="J6" s="240"/>
      <c r="K6" s="240"/>
      <c r="M6" s="236" t="s">
        <v>60</v>
      </c>
      <c r="N6" s="239" t="s">
        <v>61</v>
      </c>
    </row>
    <row r="7" spans="2:14" ht="30.75" customHeight="1" x14ac:dyDescent="0.2">
      <c r="B7" s="224" t="s">
        <v>244</v>
      </c>
      <c r="C7" s="267" t="s">
        <v>81</v>
      </c>
      <c r="D7" s="525" t="s">
        <v>245</v>
      </c>
      <c r="E7" s="525"/>
      <c r="F7" s="676" t="s">
        <v>332</v>
      </c>
      <c r="G7" s="676"/>
      <c r="H7" s="178" t="s">
        <v>246</v>
      </c>
      <c r="I7" s="268" t="s">
        <v>81</v>
      </c>
      <c r="J7" s="241"/>
      <c r="K7" s="241"/>
      <c r="M7" s="236" t="s">
        <v>65</v>
      </c>
      <c r="N7" s="239" t="s">
        <v>66</v>
      </c>
    </row>
    <row r="8" spans="2:14" ht="30.75" customHeight="1" x14ac:dyDescent="0.2">
      <c r="B8" s="224" t="s">
        <v>247</v>
      </c>
      <c r="C8" s="674" t="s">
        <v>289</v>
      </c>
      <c r="D8" s="674"/>
      <c r="E8" s="674"/>
      <c r="F8" s="674"/>
      <c r="G8" s="178" t="s">
        <v>248</v>
      </c>
      <c r="H8" s="679">
        <v>7550</v>
      </c>
      <c r="I8" s="680"/>
      <c r="J8" s="21"/>
      <c r="K8" s="21"/>
      <c r="M8" s="236" t="s">
        <v>69</v>
      </c>
      <c r="N8" s="239" t="s">
        <v>70</v>
      </c>
    </row>
    <row r="9" spans="2:14" ht="30.75" customHeight="1" x14ac:dyDescent="0.2">
      <c r="B9" s="224" t="s">
        <v>48</v>
      </c>
      <c r="C9" s="681" t="s">
        <v>69</v>
      </c>
      <c r="D9" s="681"/>
      <c r="E9" s="681"/>
      <c r="F9" s="681"/>
      <c r="G9" s="178" t="s">
        <v>249</v>
      </c>
      <c r="H9" s="682" t="s">
        <v>333</v>
      </c>
      <c r="I9" s="683"/>
      <c r="J9" s="22"/>
      <c r="K9" s="22"/>
      <c r="M9" s="242" t="s">
        <v>73</v>
      </c>
    </row>
    <row r="10" spans="2:14" ht="30.75" customHeight="1" x14ac:dyDescent="0.2">
      <c r="B10" s="224" t="s">
        <v>250</v>
      </c>
      <c r="C10" s="674" t="s">
        <v>383</v>
      </c>
      <c r="D10" s="674"/>
      <c r="E10" s="674"/>
      <c r="F10" s="674"/>
      <c r="G10" s="674"/>
      <c r="H10" s="674"/>
      <c r="I10" s="675"/>
      <c r="J10" s="243"/>
      <c r="K10" s="243"/>
      <c r="M10" s="242"/>
    </row>
    <row r="11" spans="2:14" ht="30.75" customHeight="1" x14ac:dyDescent="0.2">
      <c r="B11" s="224" t="s">
        <v>251</v>
      </c>
      <c r="C11" s="676" t="s">
        <v>291</v>
      </c>
      <c r="D11" s="676"/>
      <c r="E11" s="676"/>
      <c r="F11" s="676"/>
      <c r="G11" s="676"/>
      <c r="H11" s="676"/>
      <c r="I11" s="684"/>
      <c r="J11" s="241"/>
      <c r="K11" s="241"/>
      <c r="M11" s="242"/>
      <c r="N11" s="239" t="s">
        <v>76</v>
      </c>
    </row>
    <row r="12" spans="2:14" ht="30.75" customHeight="1" x14ac:dyDescent="0.2">
      <c r="B12" s="224" t="s">
        <v>254</v>
      </c>
      <c r="C12" s="685" t="s">
        <v>344</v>
      </c>
      <c r="D12" s="685"/>
      <c r="E12" s="685"/>
      <c r="F12" s="685"/>
      <c r="G12" s="178" t="s">
        <v>252</v>
      </c>
      <c r="H12" s="686" t="s">
        <v>91</v>
      </c>
      <c r="I12" s="687"/>
      <c r="J12" s="241"/>
      <c r="K12" s="241"/>
      <c r="M12" s="242" t="s">
        <v>80</v>
      </c>
      <c r="N12" s="239" t="s">
        <v>81</v>
      </c>
    </row>
    <row r="13" spans="2:14" ht="30.75" customHeight="1" x14ac:dyDescent="0.2">
      <c r="B13" s="224" t="s">
        <v>255</v>
      </c>
      <c r="C13" s="688" t="s">
        <v>335</v>
      </c>
      <c r="D13" s="688"/>
      <c r="E13" s="688"/>
      <c r="F13" s="688"/>
      <c r="G13" s="178" t="s">
        <v>253</v>
      </c>
      <c r="H13" s="676" t="s">
        <v>70</v>
      </c>
      <c r="I13" s="684"/>
      <c r="J13" s="241"/>
      <c r="K13" s="241"/>
      <c r="M13" s="242" t="s">
        <v>84</v>
      </c>
    </row>
    <row r="14" spans="2:14" ht="64.5" customHeight="1" x14ac:dyDescent="0.2">
      <c r="B14" s="224" t="s">
        <v>256</v>
      </c>
      <c r="C14" s="689" t="s">
        <v>345</v>
      </c>
      <c r="D14" s="689"/>
      <c r="E14" s="689"/>
      <c r="F14" s="689"/>
      <c r="G14" s="689"/>
      <c r="H14" s="689"/>
      <c r="I14" s="690"/>
      <c r="J14" s="243"/>
      <c r="K14" s="243"/>
      <c r="M14" s="242" t="s">
        <v>86</v>
      </c>
      <c r="N14" s="239"/>
    </row>
    <row r="15" spans="2:14" ht="30.75" customHeight="1" x14ac:dyDescent="0.2">
      <c r="B15" s="224" t="s">
        <v>257</v>
      </c>
      <c r="C15" s="677" t="s">
        <v>376</v>
      </c>
      <c r="D15" s="677"/>
      <c r="E15" s="677"/>
      <c r="F15" s="677"/>
      <c r="G15" s="677"/>
      <c r="H15" s="677"/>
      <c r="I15" s="678"/>
      <c r="J15" s="244"/>
      <c r="K15" s="244"/>
      <c r="M15" s="242" t="s">
        <v>88</v>
      </c>
      <c r="N15" s="239"/>
    </row>
    <row r="16" spans="2:14" ht="20.25" customHeight="1" x14ac:dyDescent="0.2">
      <c r="B16" s="224" t="s">
        <v>258</v>
      </c>
      <c r="C16" s="674" t="s">
        <v>384</v>
      </c>
      <c r="D16" s="674"/>
      <c r="E16" s="674"/>
      <c r="F16" s="674"/>
      <c r="G16" s="674"/>
      <c r="H16" s="674"/>
      <c r="I16" s="675"/>
      <c r="J16" s="245"/>
      <c r="K16" s="245"/>
      <c r="M16" s="242"/>
      <c r="N16" s="239"/>
    </row>
    <row r="17" spans="2:14" ht="30.75" customHeight="1" x14ac:dyDescent="0.2">
      <c r="B17" s="224" t="s">
        <v>259</v>
      </c>
      <c r="C17" s="676" t="s">
        <v>152</v>
      </c>
      <c r="D17" s="697"/>
      <c r="E17" s="697"/>
      <c r="F17" s="697"/>
      <c r="G17" s="697"/>
      <c r="H17" s="697"/>
      <c r="I17" s="698"/>
      <c r="J17" s="246"/>
      <c r="K17" s="246"/>
      <c r="M17" s="242" t="s">
        <v>91</v>
      </c>
      <c r="N17" s="239"/>
    </row>
    <row r="18" spans="2:14" ht="18" customHeight="1" x14ac:dyDescent="0.2">
      <c r="B18" s="549" t="s">
        <v>265</v>
      </c>
      <c r="C18" s="550" t="s">
        <v>237</v>
      </c>
      <c r="D18" s="550"/>
      <c r="E18" s="550"/>
      <c r="F18" s="551" t="s">
        <v>238</v>
      </c>
      <c r="G18" s="551"/>
      <c r="H18" s="551"/>
      <c r="I18" s="552"/>
      <c r="J18" s="28"/>
      <c r="K18" s="28"/>
      <c r="M18" s="242" t="s">
        <v>79</v>
      </c>
      <c r="N18" s="239"/>
    </row>
    <row r="19" spans="2:14" ht="39.75" customHeight="1" x14ac:dyDescent="0.2">
      <c r="B19" s="549"/>
      <c r="C19" s="674" t="s">
        <v>385</v>
      </c>
      <c r="D19" s="674"/>
      <c r="E19" s="674"/>
      <c r="F19" s="674" t="s">
        <v>386</v>
      </c>
      <c r="G19" s="674"/>
      <c r="H19" s="674"/>
      <c r="I19" s="675"/>
      <c r="J19" s="245"/>
      <c r="K19" s="245"/>
      <c r="M19" s="242" t="s">
        <v>95</v>
      </c>
      <c r="N19" s="239"/>
    </row>
    <row r="20" spans="2:14" ht="39.75" customHeight="1" x14ac:dyDescent="0.2">
      <c r="B20" s="224" t="s">
        <v>266</v>
      </c>
      <c r="C20" s="699" t="s">
        <v>152</v>
      </c>
      <c r="D20" s="700"/>
      <c r="E20" s="701"/>
      <c r="F20" s="686" t="s">
        <v>152</v>
      </c>
      <c r="G20" s="686"/>
      <c r="H20" s="686"/>
      <c r="I20" s="687"/>
      <c r="J20" s="241"/>
      <c r="K20" s="241"/>
      <c r="M20" s="242"/>
      <c r="N20" s="239"/>
    </row>
    <row r="21" spans="2:14" ht="42" customHeight="1" x14ac:dyDescent="0.2">
      <c r="B21" s="224" t="s">
        <v>267</v>
      </c>
      <c r="C21" s="702" t="s">
        <v>346</v>
      </c>
      <c r="D21" s="703"/>
      <c r="E21" s="704"/>
      <c r="F21" s="705" t="s">
        <v>387</v>
      </c>
      <c r="G21" s="692"/>
      <c r="H21" s="692"/>
      <c r="I21" s="706"/>
      <c r="J21" s="244"/>
      <c r="K21" s="244"/>
      <c r="M21" s="247"/>
      <c r="N21" s="239"/>
    </row>
    <row r="22" spans="2:14" ht="23.25" customHeight="1" x14ac:dyDescent="0.2">
      <c r="B22" s="224" t="s">
        <v>268</v>
      </c>
      <c r="C22" s="691">
        <v>44197</v>
      </c>
      <c r="D22" s="707"/>
      <c r="E22" s="708"/>
      <c r="F22" s="178" t="s">
        <v>271</v>
      </c>
      <c r="G22" s="291">
        <v>10</v>
      </c>
      <c r="H22" s="178" t="s">
        <v>275</v>
      </c>
      <c r="I22" s="269">
        <v>10</v>
      </c>
      <c r="J22" s="30"/>
      <c r="K22" s="30"/>
      <c r="M22" s="247"/>
    </row>
    <row r="23" spans="2:14" ht="27" customHeight="1" x14ac:dyDescent="0.2">
      <c r="B23" s="224" t="s">
        <v>269</v>
      </c>
      <c r="C23" s="691">
        <v>44561</v>
      </c>
      <c r="D23" s="692"/>
      <c r="E23" s="693"/>
      <c r="F23" s="178" t="s">
        <v>272</v>
      </c>
      <c r="G23" s="694">
        <v>0.3</v>
      </c>
      <c r="H23" s="695"/>
      <c r="I23" s="696"/>
      <c r="J23" s="31"/>
      <c r="K23" s="31"/>
      <c r="M23" s="247"/>
    </row>
    <row r="24" spans="2:14" ht="30.75" customHeight="1" x14ac:dyDescent="0.2">
      <c r="B24" s="231" t="s">
        <v>270</v>
      </c>
      <c r="C24" s="709" t="s">
        <v>88</v>
      </c>
      <c r="D24" s="710"/>
      <c r="E24" s="711"/>
      <c r="F24" s="227" t="s">
        <v>274</v>
      </c>
      <c r="G24" s="705"/>
      <c r="H24" s="692"/>
      <c r="I24" s="706"/>
      <c r="J24" s="28"/>
      <c r="K24" s="28"/>
      <c r="M24" s="247"/>
    </row>
    <row r="25" spans="2:14" ht="22.5" customHeight="1" x14ac:dyDescent="0.2">
      <c r="B25" s="662" t="s">
        <v>235</v>
      </c>
      <c r="C25" s="663"/>
      <c r="D25" s="663"/>
      <c r="E25" s="663"/>
      <c r="F25" s="663"/>
      <c r="G25" s="663"/>
      <c r="H25" s="663"/>
      <c r="I25" s="664"/>
      <c r="J25" s="238"/>
      <c r="K25" s="238"/>
      <c r="M25" s="247"/>
    </row>
    <row r="26" spans="2:14" ht="43.5" customHeight="1" x14ac:dyDescent="0.2">
      <c r="B26" s="191" t="s">
        <v>105</v>
      </c>
      <c r="C26" s="221" t="s">
        <v>261</v>
      </c>
      <c r="D26" s="221" t="s">
        <v>260</v>
      </c>
      <c r="E26" s="192" t="s">
        <v>264</v>
      </c>
      <c r="F26" s="221" t="s">
        <v>263</v>
      </c>
      <c r="G26" s="221" t="s">
        <v>262</v>
      </c>
      <c r="H26" s="192" t="s">
        <v>343</v>
      </c>
      <c r="I26" s="193" t="s">
        <v>273</v>
      </c>
      <c r="M26" s="247"/>
    </row>
    <row r="27" spans="2:14" ht="19.5" customHeight="1" x14ac:dyDescent="0.2">
      <c r="B27" s="194" t="s">
        <v>113</v>
      </c>
      <c r="C27" s="292">
        <f>24.7%*G23</f>
        <v>7.4099999999999999E-2</v>
      </c>
      <c r="D27" s="294">
        <f>24.7%*G23</f>
        <v>7.4099999999999999E-2</v>
      </c>
      <c r="E27" s="290">
        <f>D27/C27</f>
        <v>1</v>
      </c>
      <c r="F27" s="712">
        <f>SUM(C27:C38)</f>
        <v>0.3</v>
      </c>
      <c r="G27" s="829">
        <f>SUM(D27:D38)</f>
        <v>0.22841999999999998</v>
      </c>
      <c r="H27" s="282">
        <f>+(D27*100%)/$G$23</f>
        <v>0.247</v>
      </c>
      <c r="I27" s="715">
        <f>G27+I22</f>
        <v>10.22842</v>
      </c>
      <c r="M27" s="247"/>
    </row>
    <row r="28" spans="2:14" ht="19.5" customHeight="1" x14ac:dyDescent="0.2">
      <c r="B28" s="194" t="s">
        <v>114</v>
      </c>
      <c r="C28" s="292">
        <f>3.3%*G23</f>
        <v>9.9000000000000008E-3</v>
      </c>
      <c r="D28" s="294">
        <f>3.3%*G23</f>
        <v>9.9000000000000008E-3</v>
      </c>
      <c r="E28" s="290">
        <f t="shared" ref="E28:E31" si="0">D28/C28</f>
        <v>1</v>
      </c>
      <c r="F28" s="713"/>
      <c r="G28" s="830"/>
      <c r="H28" s="282">
        <f>+IF(D28="","",((D28*100%)/$G$23)+H27)</f>
        <v>0.28000000000000003</v>
      </c>
      <c r="I28" s="716"/>
      <c r="M28" s="247"/>
    </row>
    <row r="29" spans="2:14" ht="19.5" customHeight="1" x14ac:dyDescent="0.2">
      <c r="B29" s="194" t="s">
        <v>115</v>
      </c>
      <c r="C29" s="293">
        <f>2.7%*G23</f>
        <v>8.1000000000000013E-3</v>
      </c>
      <c r="D29" s="294">
        <f>2.7%*G23</f>
        <v>8.1000000000000013E-3</v>
      </c>
      <c r="E29" s="290">
        <f t="shared" si="0"/>
        <v>1</v>
      </c>
      <c r="F29" s="713"/>
      <c r="G29" s="830"/>
      <c r="H29" s="282">
        <f t="shared" ref="H29:H38" si="1">+IF(D29="","",((D29*100%)/$G$23)+H28)</f>
        <v>0.30700000000000005</v>
      </c>
      <c r="I29" s="716"/>
      <c r="M29" s="247"/>
    </row>
    <row r="30" spans="2:14" ht="19.5" customHeight="1" x14ac:dyDescent="0.2">
      <c r="B30" s="194" t="s">
        <v>116</v>
      </c>
      <c r="C30" s="293">
        <f>20%*G23</f>
        <v>0.06</v>
      </c>
      <c r="D30" s="294">
        <f>7.34%*G23</f>
        <v>2.2019999999999998E-2</v>
      </c>
      <c r="E30" s="290">
        <f t="shared" si="0"/>
        <v>0.36699999999999999</v>
      </c>
      <c r="F30" s="713"/>
      <c r="G30" s="830"/>
      <c r="H30" s="282">
        <f t="shared" si="1"/>
        <v>0.38040000000000007</v>
      </c>
      <c r="I30" s="716"/>
    </row>
    <row r="31" spans="2:14" ht="19.5" customHeight="1" x14ac:dyDescent="0.2">
      <c r="B31" s="194" t="s">
        <v>117</v>
      </c>
      <c r="C31" s="293">
        <f>5.3%*G23</f>
        <v>1.5899999999999997E-2</v>
      </c>
      <c r="D31" s="294">
        <f>4%*G23</f>
        <v>1.2E-2</v>
      </c>
      <c r="E31" s="290">
        <f t="shared" si="0"/>
        <v>0.75471698113207564</v>
      </c>
      <c r="F31" s="713"/>
      <c r="G31" s="830"/>
      <c r="H31" s="282">
        <f t="shared" si="1"/>
        <v>0.42040000000000005</v>
      </c>
      <c r="I31" s="716"/>
    </row>
    <row r="32" spans="2:14" ht="19.5" customHeight="1" x14ac:dyDescent="0.2">
      <c r="B32" s="194" t="s">
        <v>118</v>
      </c>
      <c r="C32" s="293">
        <f>2.7%*G23</f>
        <v>8.1000000000000013E-3</v>
      </c>
      <c r="D32" s="302">
        <f>12.7%*G23</f>
        <v>3.8100000000000002E-2</v>
      </c>
      <c r="E32" s="290">
        <f>D32/C32</f>
        <v>4.7037037037037033</v>
      </c>
      <c r="F32" s="713"/>
      <c r="G32" s="830"/>
      <c r="H32" s="282">
        <f t="shared" si="1"/>
        <v>0.54740000000000011</v>
      </c>
      <c r="I32" s="716"/>
    </row>
    <row r="33" spans="2:11" ht="19.5" customHeight="1" x14ac:dyDescent="0.2">
      <c r="B33" s="194" t="s">
        <v>119</v>
      </c>
      <c r="C33" s="293">
        <f>2.7%*G23</f>
        <v>8.1000000000000013E-3</v>
      </c>
      <c r="D33" s="296">
        <v>8.1000000000000013E-3</v>
      </c>
      <c r="E33" s="290">
        <f t="shared" ref="E33:E38" si="2">D33/C33</f>
        <v>1</v>
      </c>
      <c r="F33" s="713"/>
      <c r="G33" s="830"/>
      <c r="H33" s="282">
        <f t="shared" si="1"/>
        <v>0.57440000000000013</v>
      </c>
      <c r="I33" s="716"/>
    </row>
    <row r="34" spans="2:11" ht="19.5" customHeight="1" x14ac:dyDescent="0.2">
      <c r="B34" s="194" t="s">
        <v>120</v>
      </c>
      <c r="C34" s="293">
        <f>10%*G23</f>
        <v>0.03</v>
      </c>
      <c r="D34" s="296">
        <f>10.7%*G23</f>
        <v>3.2099999999999997E-2</v>
      </c>
      <c r="E34" s="290">
        <f t="shared" si="2"/>
        <v>1.0699999999999998</v>
      </c>
      <c r="F34" s="713"/>
      <c r="G34" s="830"/>
      <c r="H34" s="282">
        <f t="shared" si="1"/>
        <v>0.68140000000000012</v>
      </c>
      <c r="I34" s="716"/>
    </row>
    <row r="35" spans="2:11" ht="19.5" customHeight="1" x14ac:dyDescent="0.2">
      <c r="B35" s="194" t="s">
        <v>121</v>
      </c>
      <c r="C35" s="293">
        <f>5.3%*G23</f>
        <v>1.5899999999999997E-2</v>
      </c>
      <c r="D35" s="296">
        <v>1.5899999999999997E-2</v>
      </c>
      <c r="E35" s="290">
        <f t="shared" si="2"/>
        <v>1</v>
      </c>
      <c r="F35" s="713"/>
      <c r="G35" s="830"/>
      <c r="H35" s="282">
        <f t="shared" si="1"/>
        <v>0.73440000000000016</v>
      </c>
      <c r="I35" s="716"/>
    </row>
    <row r="36" spans="2:11" ht="19.5" customHeight="1" x14ac:dyDescent="0.2">
      <c r="B36" s="194" t="s">
        <v>122</v>
      </c>
      <c r="C36" s="293">
        <f>6.7%*G23</f>
        <v>2.01E-2</v>
      </c>
      <c r="D36" s="296">
        <f>2.7%*G23</f>
        <v>8.1000000000000013E-3</v>
      </c>
      <c r="E36" s="290">
        <f t="shared" si="2"/>
        <v>0.40298507462686572</v>
      </c>
      <c r="F36" s="713"/>
      <c r="G36" s="830"/>
      <c r="H36" s="282">
        <f t="shared" si="1"/>
        <v>0.76140000000000019</v>
      </c>
      <c r="I36" s="716"/>
    </row>
    <row r="37" spans="2:11" ht="19.5" customHeight="1" x14ac:dyDescent="0.2">
      <c r="B37" s="194" t="s">
        <v>123</v>
      </c>
      <c r="C37" s="293">
        <f>2.5%*G23</f>
        <v>7.4999999999999997E-3</v>
      </c>
      <c r="D37" s="289"/>
      <c r="E37" s="290">
        <f t="shared" si="2"/>
        <v>0</v>
      </c>
      <c r="F37" s="713"/>
      <c r="G37" s="830"/>
      <c r="H37" s="282" t="str">
        <f t="shared" si="1"/>
        <v/>
      </c>
      <c r="I37" s="716"/>
    </row>
    <row r="38" spans="2:11" ht="19.5" customHeight="1" x14ac:dyDescent="0.2">
      <c r="B38" s="194" t="s">
        <v>124</v>
      </c>
      <c r="C38" s="293">
        <f>14.1%*G23</f>
        <v>4.2299999999999997E-2</v>
      </c>
      <c r="D38" s="289"/>
      <c r="E38" s="290">
        <f t="shared" si="2"/>
        <v>0</v>
      </c>
      <c r="F38" s="714"/>
      <c r="G38" s="831"/>
      <c r="H38" s="282" t="str">
        <f t="shared" si="1"/>
        <v/>
      </c>
      <c r="I38" s="717"/>
    </row>
    <row r="39" spans="2:11" ht="96.6" customHeight="1" x14ac:dyDescent="0.2">
      <c r="B39" s="229" t="s">
        <v>277</v>
      </c>
      <c r="C39" s="832" t="s">
        <v>411</v>
      </c>
      <c r="D39" s="833"/>
      <c r="E39" s="833"/>
      <c r="F39" s="833"/>
      <c r="G39" s="833"/>
      <c r="H39" s="833"/>
      <c r="I39" s="834"/>
    </row>
    <row r="40" spans="2:11" ht="34.5" customHeight="1" x14ac:dyDescent="0.2">
      <c r="B40" s="571"/>
      <c r="C40" s="572"/>
      <c r="D40" s="572"/>
      <c r="E40" s="572"/>
      <c r="F40" s="572"/>
      <c r="G40" s="572"/>
      <c r="H40" s="572"/>
      <c r="I40" s="573"/>
      <c r="J40" s="238"/>
      <c r="K40" s="238"/>
    </row>
    <row r="41" spans="2:11" ht="34.5" customHeight="1" x14ac:dyDescent="0.2">
      <c r="B41" s="574"/>
      <c r="C41" s="575"/>
      <c r="D41" s="575"/>
      <c r="E41" s="575"/>
      <c r="F41" s="575"/>
      <c r="G41" s="575"/>
      <c r="H41" s="575"/>
      <c r="I41" s="576"/>
      <c r="J41" s="249"/>
      <c r="K41" s="249"/>
    </row>
    <row r="42" spans="2:11" ht="34.5" customHeight="1" x14ac:dyDescent="0.2">
      <c r="B42" s="574"/>
      <c r="C42" s="575"/>
      <c r="D42" s="575"/>
      <c r="E42" s="575"/>
      <c r="F42" s="575"/>
      <c r="G42" s="575"/>
      <c r="H42" s="575"/>
      <c r="I42" s="576"/>
      <c r="J42" s="249"/>
      <c r="K42" s="249"/>
    </row>
    <row r="43" spans="2:11" ht="34.5" customHeight="1" x14ac:dyDescent="0.2">
      <c r="B43" s="574"/>
      <c r="C43" s="575"/>
      <c r="D43" s="575"/>
      <c r="E43" s="575"/>
      <c r="F43" s="575"/>
      <c r="G43" s="575"/>
      <c r="H43" s="575"/>
      <c r="I43" s="576"/>
      <c r="J43" s="249"/>
      <c r="K43" s="249"/>
    </row>
    <row r="44" spans="2:11" ht="34.5" customHeight="1" x14ac:dyDescent="0.2">
      <c r="B44" s="577"/>
      <c r="C44" s="578"/>
      <c r="D44" s="578"/>
      <c r="E44" s="578"/>
      <c r="F44" s="578"/>
      <c r="G44" s="578"/>
      <c r="H44" s="578"/>
      <c r="I44" s="579"/>
      <c r="J44" s="237"/>
      <c r="K44" s="237"/>
    </row>
    <row r="45" spans="2:11" ht="47.25" customHeight="1" x14ac:dyDescent="0.2">
      <c r="B45" s="224" t="s">
        <v>278</v>
      </c>
      <c r="C45" s="723" t="s">
        <v>412</v>
      </c>
      <c r="D45" s="724"/>
      <c r="E45" s="724"/>
      <c r="F45" s="724"/>
      <c r="G45" s="724"/>
      <c r="H45" s="724"/>
      <c r="I45" s="725"/>
      <c r="J45" s="250"/>
      <c r="K45" s="250"/>
    </row>
    <row r="46" spans="2:11" ht="32.25" customHeight="1" x14ac:dyDescent="0.2">
      <c r="B46" s="224" t="s">
        <v>279</v>
      </c>
      <c r="C46" s="723"/>
      <c r="D46" s="724"/>
      <c r="E46" s="724"/>
      <c r="F46" s="724"/>
      <c r="G46" s="724"/>
      <c r="H46" s="724"/>
      <c r="I46" s="725"/>
      <c r="J46" s="250"/>
      <c r="K46" s="250"/>
    </row>
    <row r="47" spans="2:11" ht="143.25" customHeight="1" x14ac:dyDescent="0.2">
      <c r="B47" s="230" t="s">
        <v>280</v>
      </c>
      <c r="C47" s="726" t="s">
        <v>401</v>
      </c>
      <c r="D47" s="727"/>
      <c r="E47" s="727"/>
      <c r="F47" s="727"/>
      <c r="G47" s="727"/>
      <c r="H47" s="727"/>
      <c r="I47" s="728"/>
      <c r="J47" s="250"/>
      <c r="K47" s="250"/>
    </row>
    <row r="48" spans="2:11" ht="22.5" customHeight="1" x14ac:dyDescent="0.2">
      <c r="B48" s="662" t="s">
        <v>236</v>
      </c>
      <c r="C48" s="663"/>
      <c r="D48" s="663"/>
      <c r="E48" s="663"/>
      <c r="F48" s="663"/>
      <c r="G48" s="663"/>
      <c r="H48" s="663"/>
      <c r="I48" s="664"/>
      <c r="J48" s="250"/>
      <c r="K48" s="250"/>
    </row>
    <row r="49" spans="2:11" ht="22.5" customHeight="1" x14ac:dyDescent="0.2">
      <c r="B49" s="593" t="s">
        <v>281</v>
      </c>
      <c r="C49" s="218" t="s">
        <v>282</v>
      </c>
      <c r="D49" s="595" t="s">
        <v>283</v>
      </c>
      <c r="E49" s="595"/>
      <c r="F49" s="595"/>
      <c r="G49" s="595" t="s">
        <v>284</v>
      </c>
      <c r="H49" s="595"/>
      <c r="I49" s="596"/>
      <c r="J49" s="251"/>
      <c r="K49" s="251"/>
    </row>
    <row r="50" spans="2:11" ht="30.75" customHeight="1" x14ac:dyDescent="0.2">
      <c r="B50" s="594"/>
      <c r="C50" s="199"/>
      <c r="D50" s="634"/>
      <c r="E50" s="634"/>
      <c r="F50" s="634"/>
      <c r="G50" s="634"/>
      <c r="H50" s="634"/>
      <c r="I50" s="635"/>
      <c r="J50" s="251"/>
      <c r="K50" s="251"/>
    </row>
    <row r="51" spans="2:11" ht="32.25" customHeight="1" x14ac:dyDescent="0.2">
      <c r="B51" s="233" t="s">
        <v>285</v>
      </c>
      <c r="C51" s="721" t="s">
        <v>347</v>
      </c>
      <c r="D51" s="721"/>
      <c r="E51" s="721"/>
      <c r="F51" s="721"/>
      <c r="G51" s="721"/>
      <c r="H51" s="721"/>
      <c r="I51" s="722"/>
      <c r="J51" s="252"/>
      <c r="K51" s="252"/>
    </row>
    <row r="52" spans="2:11" ht="28.5" customHeight="1" x14ac:dyDescent="0.2">
      <c r="B52" s="234" t="s">
        <v>286</v>
      </c>
      <c r="C52" s="729" t="s">
        <v>354</v>
      </c>
      <c r="D52" s="730"/>
      <c r="E52" s="730"/>
      <c r="F52" s="730"/>
      <c r="G52" s="730"/>
      <c r="H52" s="730"/>
      <c r="I52" s="731"/>
      <c r="J52" s="252"/>
      <c r="K52" s="252"/>
    </row>
    <row r="53" spans="2:11" ht="30" customHeight="1" x14ac:dyDescent="0.2">
      <c r="B53" s="230" t="s">
        <v>287</v>
      </c>
      <c r="C53" s="718" t="s">
        <v>397</v>
      </c>
      <c r="D53" s="719"/>
      <c r="E53" s="719"/>
      <c r="F53" s="719"/>
      <c r="G53" s="719"/>
      <c r="H53" s="719"/>
      <c r="I53" s="720"/>
      <c r="J53" s="253"/>
      <c r="K53" s="253"/>
    </row>
    <row r="54" spans="2:11" ht="31.5" customHeight="1" thickBot="1" x14ac:dyDescent="0.25">
      <c r="B54" s="211" t="s">
        <v>288</v>
      </c>
      <c r="C54" s="718" t="s">
        <v>397</v>
      </c>
      <c r="D54" s="719"/>
      <c r="E54" s="719"/>
      <c r="F54" s="719"/>
      <c r="G54" s="719"/>
      <c r="H54" s="719"/>
      <c r="I54" s="720"/>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C45:I45"/>
    <mergeCell ref="C46:I46"/>
    <mergeCell ref="C47:I47"/>
    <mergeCell ref="C52:I52"/>
    <mergeCell ref="C53:I53"/>
    <mergeCell ref="C54:I54"/>
    <mergeCell ref="C51:I51"/>
    <mergeCell ref="B48:I48"/>
    <mergeCell ref="B49:B50"/>
    <mergeCell ref="D49:F49"/>
    <mergeCell ref="G49:I49"/>
    <mergeCell ref="D50:F50"/>
    <mergeCell ref="G50:I50"/>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60"/>
  <sheetViews>
    <sheetView view="pageBreakPreview" topLeftCell="B42" zoomScale="70" zoomScaleNormal="85" zoomScaleSheetLayoutView="70"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36.28515625" style="173" customWidth="1"/>
    <col min="10" max="11" width="22.42578125" style="173" customWidth="1"/>
    <col min="12" max="24" width="10.85546875" style="171"/>
    <col min="25" max="16384" width="10.85546875" style="173"/>
  </cols>
  <sheetData>
    <row r="1" spans="2:14" ht="37.5" customHeight="1" x14ac:dyDescent="0.2">
      <c r="B1" s="510"/>
      <c r="C1" s="513" t="s">
        <v>25</v>
      </c>
      <c r="D1" s="513"/>
      <c r="E1" s="513"/>
      <c r="F1" s="513"/>
      <c r="G1" s="513"/>
      <c r="H1" s="513"/>
      <c r="I1" s="514"/>
      <c r="J1" s="170"/>
      <c r="K1" s="170"/>
      <c r="M1" s="172" t="s">
        <v>47</v>
      </c>
    </row>
    <row r="2" spans="2:14" ht="37.5" customHeight="1" x14ac:dyDescent="0.2">
      <c r="B2" s="511"/>
      <c r="C2" s="517" t="s">
        <v>239</v>
      </c>
      <c r="D2" s="517"/>
      <c r="E2" s="517"/>
      <c r="F2" s="517"/>
      <c r="G2" s="517"/>
      <c r="H2" s="517"/>
      <c r="I2" s="515"/>
      <c r="J2" s="170"/>
      <c r="K2" s="170"/>
      <c r="M2" s="172" t="s">
        <v>48</v>
      </c>
    </row>
    <row r="3" spans="2:14" ht="37.5" customHeight="1" thickBot="1" x14ac:dyDescent="0.25">
      <c r="B3" s="512"/>
      <c r="C3" s="518" t="s">
        <v>240</v>
      </c>
      <c r="D3" s="518"/>
      <c r="E3" s="518"/>
      <c r="F3" s="518" t="s">
        <v>241</v>
      </c>
      <c r="G3" s="518"/>
      <c r="H3" s="518"/>
      <c r="I3" s="516"/>
      <c r="J3" s="170"/>
      <c r="K3" s="170"/>
      <c r="M3" s="172" t="s">
        <v>50</v>
      </c>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t="s">
        <v>57</v>
      </c>
    </row>
    <row r="6" spans="2:14" ht="30.75" customHeight="1" x14ac:dyDescent="0.2">
      <c r="B6" s="224" t="s">
        <v>242</v>
      </c>
      <c r="C6" s="222">
        <v>5</v>
      </c>
      <c r="D6" s="525" t="s">
        <v>243</v>
      </c>
      <c r="E6" s="525"/>
      <c r="F6" s="526" t="s">
        <v>294</v>
      </c>
      <c r="G6" s="526"/>
      <c r="H6" s="526"/>
      <c r="I6" s="527"/>
      <c r="J6" s="177"/>
      <c r="K6" s="177"/>
      <c r="M6" s="172" t="s">
        <v>60</v>
      </c>
      <c r="N6" s="176" t="s">
        <v>61</v>
      </c>
    </row>
    <row r="7" spans="2:14" ht="30.75" customHeight="1" x14ac:dyDescent="0.2">
      <c r="B7" s="224" t="s">
        <v>244</v>
      </c>
      <c r="C7" s="222" t="s">
        <v>81</v>
      </c>
      <c r="D7" s="525" t="s">
        <v>245</v>
      </c>
      <c r="E7" s="525"/>
      <c r="F7" s="526" t="s">
        <v>378</v>
      </c>
      <c r="G7" s="526"/>
      <c r="H7" s="178" t="s">
        <v>246</v>
      </c>
      <c r="I7" s="223" t="s">
        <v>81</v>
      </c>
      <c r="J7" s="179"/>
      <c r="K7" s="179"/>
      <c r="M7" s="172" t="s">
        <v>65</v>
      </c>
      <c r="N7" s="176" t="s">
        <v>66</v>
      </c>
    </row>
    <row r="8" spans="2:14" ht="30.75" customHeight="1" x14ac:dyDescent="0.2">
      <c r="B8" s="224" t="s">
        <v>247</v>
      </c>
      <c r="C8" s="526" t="s">
        <v>289</v>
      </c>
      <c r="D8" s="526"/>
      <c r="E8" s="526"/>
      <c r="F8" s="526"/>
      <c r="G8" s="178" t="s">
        <v>248</v>
      </c>
      <c r="H8" s="531">
        <v>7550</v>
      </c>
      <c r="I8" s="532"/>
      <c r="J8" s="180"/>
      <c r="K8" s="180"/>
      <c r="M8" s="172" t="s">
        <v>69</v>
      </c>
      <c r="N8" s="176" t="s">
        <v>70</v>
      </c>
    </row>
    <row r="9" spans="2:14" ht="30.75" customHeight="1" x14ac:dyDescent="0.2">
      <c r="B9" s="224" t="s">
        <v>48</v>
      </c>
      <c r="C9" s="533" t="s">
        <v>60</v>
      </c>
      <c r="D9" s="533"/>
      <c r="E9" s="533"/>
      <c r="F9" s="533"/>
      <c r="G9" s="178" t="s">
        <v>249</v>
      </c>
      <c r="H9" s="534" t="s">
        <v>311</v>
      </c>
      <c r="I9" s="535"/>
      <c r="J9" s="181"/>
      <c r="K9" s="181"/>
      <c r="M9" s="182" t="s">
        <v>73</v>
      </c>
    </row>
    <row r="10" spans="2:14" ht="39" customHeight="1" x14ac:dyDescent="0.2">
      <c r="B10" s="224" t="s">
        <v>250</v>
      </c>
      <c r="C10" s="526" t="s">
        <v>351</v>
      </c>
      <c r="D10" s="526"/>
      <c r="E10" s="526"/>
      <c r="F10" s="526"/>
      <c r="G10" s="526"/>
      <c r="H10" s="526"/>
      <c r="I10" s="527"/>
      <c r="J10" s="183"/>
      <c r="K10" s="183"/>
      <c r="M10" s="182"/>
    </row>
    <row r="11" spans="2:14" ht="30.75" customHeight="1" x14ac:dyDescent="0.2">
      <c r="B11" s="224" t="s">
        <v>251</v>
      </c>
      <c r="C11" s="528" t="s">
        <v>363</v>
      </c>
      <c r="D11" s="528"/>
      <c r="E11" s="528"/>
      <c r="F11" s="528"/>
      <c r="G11" s="528"/>
      <c r="H11" s="528"/>
      <c r="I11" s="732"/>
      <c r="J11" s="179"/>
      <c r="K11" s="179"/>
      <c r="M11" s="182"/>
      <c r="N11" s="176" t="s">
        <v>76</v>
      </c>
    </row>
    <row r="12" spans="2:14" ht="30.75" customHeight="1" x14ac:dyDescent="0.2">
      <c r="B12" s="224" t="s">
        <v>254</v>
      </c>
      <c r="C12" s="529" t="s">
        <v>305</v>
      </c>
      <c r="D12" s="529"/>
      <c r="E12" s="529"/>
      <c r="F12" s="529"/>
      <c r="G12" s="178" t="s">
        <v>252</v>
      </c>
      <c r="H12" s="556" t="s">
        <v>91</v>
      </c>
      <c r="I12" s="557"/>
      <c r="J12" s="179"/>
      <c r="K12" s="179"/>
      <c r="M12" s="182" t="s">
        <v>80</v>
      </c>
      <c r="N12" s="176" t="s">
        <v>81</v>
      </c>
    </row>
    <row r="13" spans="2:14" ht="30.75" customHeight="1" x14ac:dyDescent="0.2">
      <c r="B13" s="224" t="s">
        <v>255</v>
      </c>
      <c r="C13" s="540" t="s">
        <v>330</v>
      </c>
      <c r="D13" s="540"/>
      <c r="E13" s="540"/>
      <c r="F13" s="540"/>
      <c r="G13" s="178" t="s">
        <v>253</v>
      </c>
      <c r="H13" s="528" t="s">
        <v>57</v>
      </c>
      <c r="I13" s="732"/>
      <c r="J13" s="179"/>
      <c r="K13" s="179"/>
      <c r="M13" s="182" t="s">
        <v>84</v>
      </c>
    </row>
    <row r="14" spans="2:14" ht="30" customHeight="1" x14ac:dyDescent="0.2">
      <c r="B14" s="224" t="s">
        <v>256</v>
      </c>
      <c r="C14" s="733" t="s">
        <v>379</v>
      </c>
      <c r="D14" s="734"/>
      <c r="E14" s="734"/>
      <c r="F14" s="734"/>
      <c r="G14" s="734"/>
      <c r="H14" s="734"/>
      <c r="I14" s="735"/>
      <c r="J14" s="183"/>
      <c r="K14" s="183"/>
      <c r="M14" s="182" t="s">
        <v>86</v>
      </c>
      <c r="N14" s="176"/>
    </row>
    <row r="15" spans="2:14" ht="30.75" customHeight="1" x14ac:dyDescent="0.2">
      <c r="B15" s="224" t="s">
        <v>257</v>
      </c>
      <c r="C15" s="529" t="s">
        <v>293</v>
      </c>
      <c r="D15" s="529"/>
      <c r="E15" s="529"/>
      <c r="F15" s="529"/>
      <c r="G15" s="529"/>
      <c r="H15" s="529"/>
      <c r="I15" s="530"/>
      <c r="J15" s="184"/>
      <c r="K15" s="184"/>
      <c r="M15" s="182" t="s">
        <v>88</v>
      </c>
      <c r="N15" s="176"/>
    </row>
    <row r="16" spans="2:14" ht="20.25" customHeight="1" x14ac:dyDescent="0.2">
      <c r="B16" s="224" t="s">
        <v>258</v>
      </c>
      <c r="C16" s="526" t="s">
        <v>322</v>
      </c>
      <c r="D16" s="526"/>
      <c r="E16" s="526"/>
      <c r="F16" s="526"/>
      <c r="G16" s="526"/>
      <c r="H16" s="526"/>
      <c r="I16" s="527"/>
      <c r="J16" s="185"/>
      <c r="K16" s="185"/>
      <c r="M16" s="182"/>
      <c r="N16" s="176"/>
    </row>
    <row r="17" spans="2:14" ht="30.75" customHeight="1" x14ac:dyDescent="0.2">
      <c r="B17" s="224" t="s">
        <v>259</v>
      </c>
      <c r="C17" s="528" t="s">
        <v>152</v>
      </c>
      <c r="D17" s="547"/>
      <c r="E17" s="547"/>
      <c r="F17" s="547"/>
      <c r="G17" s="547"/>
      <c r="H17" s="547"/>
      <c r="I17" s="548"/>
      <c r="J17" s="186"/>
      <c r="K17" s="186"/>
      <c r="M17" s="182" t="s">
        <v>91</v>
      </c>
      <c r="N17" s="176"/>
    </row>
    <row r="18" spans="2:14" ht="18" customHeight="1" x14ac:dyDescent="0.2">
      <c r="B18" s="549" t="s">
        <v>265</v>
      </c>
      <c r="C18" s="550" t="s">
        <v>237</v>
      </c>
      <c r="D18" s="550"/>
      <c r="E18" s="550"/>
      <c r="F18" s="551" t="s">
        <v>238</v>
      </c>
      <c r="G18" s="551"/>
      <c r="H18" s="551"/>
      <c r="I18" s="552"/>
      <c r="J18" s="187"/>
      <c r="K18" s="187"/>
      <c r="M18" s="182" t="s">
        <v>79</v>
      </c>
      <c r="N18" s="176"/>
    </row>
    <row r="19" spans="2:14" ht="39.75" customHeight="1" x14ac:dyDescent="0.2">
      <c r="B19" s="549"/>
      <c r="C19" s="526" t="s">
        <v>307</v>
      </c>
      <c r="D19" s="526"/>
      <c r="E19" s="526"/>
      <c r="F19" s="526" t="s">
        <v>308</v>
      </c>
      <c r="G19" s="526"/>
      <c r="H19" s="526"/>
      <c r="I19" s="527"/>
      <c r="J19" s="185"/>
      <c r="K19" s="185"/>
      <c r="M19" s="182" t="s">
        <v>95</v>
      </c>
      <c r="N19" s="176"/>
    </row>
    <row r="20" spans="2:14" ht="39.75" customHeight="1" x14ac:dyDescent="0.2">
      <c r="B20" s="224" t="s">
        <v>266</v>
      </c>
      <c r="C20" s="553" t="s">
        <v>309</v>
      </c>
      <c r="D20" s="554"/>
      <c r="E20" s="555"/>
      <c r="F20" s="556" t="s">
        <v>309</v>
      </c>
      <c r="G20" s="556"/>
      <c r="H20" s="556"/>
      <c r="I20" s="557"/>
      <c r="J20" s="179"/>
      <c r="K20" s="179"/>
      <c r="M20" s="182"/>
      <c r="N20" s="176"/>
    </row>
    <row r="21" spans="2:14" ht="361.15" customHeight="1" x14ac:dyDescent="0.2">
      <c r="B21" s="224" t="s">
        <v>267</v>
      </c>
      <c r="C21" s="558" t="s">
        <v>380</v>
      </c>
      <c r="D21" s="559"/>
      <c r="E21" s="560"/>
      <c r="F21" s="736" t="s">
        <v>381</v>
      </c>
      <c r="G21" s="737"/>
      <c r="H21" s="737"/>
      <c r="I21" s="738"/>
      <c r="J21" s="184"/>
      <c r="K21" s="184"/>
      <c r="M21" s="188"/>
      <c r="N21" s="176"/>
    </row>
    <row r="22" spans="2:14" ht="23.25" customHeight="1" x14ac:dyDescent="0.2">
      <c r="B22" s="224" t="s">
        <v>268</v>
      </c>
      <c r="C22" s="541">
        <v>44197</v>
      </c>
      <c r="D22" s="564"/>
      <c r="E22" s="565"/>
      <c r="F22" s="178" t="s">
        <v>271</v>
      </c>
      <c r="G22" s="225">
        <v>0.1</v>
      </c>
      <c r="H22" s="178" t="s">
        <v>275</v>
      </c>
      <c r="I22" s="226">
        <v>0.1</v>
      </c>
      <c r="J22" s="189"/>
      <c r="K22" s="189"/>
      <c r="M22" s="188"/>
    </row>
    <row r="23" spans="2:14" ht="27" customHeight="1" x14ac:dyDescent="0.2">
      <c r="B23" s="224" t="s">
        <v>269</v>
      </c>
      <c r="C23" s="541">
        <v>44561</v>
      </c>
      <c r="D23" s="542"/>
      <c r="E23" s="543"/>
      <c r="F23" s="178" t="s">
        <v>272</v>
      </c>
      <c r="G23" s="544">
        <v>0.3</v>
      </c>
      <c r="H23" s="545"/>
      <c r="I23" s="546"/>
      <c r="J23" s="190"/>
      <c r="K23" s="190"/>
      <c r="M23" s="188"/>
    </row>
    <row r="24" spans="2:14" ht="30.75" customHeight="1" x14ac:dyDescent="0.2">
      <c r="B24" s="231" t="s">
        <v>270</v>
      </c>
      <c r="C24" s="566" t="s">
        <v>321</v>
      </c>
      <c r="D24" s="567"/>
      <c r="E24" s="568"/>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586">
        <f>SUM(C27:C38)</f>
        <v>0.29999999999999993</v>
      </c>
      <c r="G27" s="586">
        <f>SUM(D27:D38)</f>
        <v>0.24978</v>
      </c>
      <c r="H27" s="264">
        <f>+(D27*100%)/$G$23</f>
        <v>8.3000000000000004E-2</v>
      </c>
      <c r="I27" s="620">
        <f>G27+I22</f>
        <v>0.34977999999999998</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587"/>
      <c r="G28" s="587"/>
      <c r="H28" s="264">
        <f>+IF(D28="","",((D28*100%)/$G$23)+H27)</f>
        <v>0.16600000000000001</v>
      </c>
      <c r="I28" s="621"/>
      <c r="J28" s="185"/>
      <c r="K28" s="185"/>
      <c r="M28" s="188"/>
    </row>
    <row r="29" spans="2:14" ht="15.6" customHeight="1" x14ac:dyDescent="0.2">
      <c r="B29" s="191" t="s">
        <v>115</v>
      </c>
      <c r="C29" s="228">
        <f t="shared" si="0"/>
        <v>2.4989999999999998E-2</v>
      </c>
      <c r="D29" s="228">
        <f t="shared" si="0"/>
        <v>2.4989999999999998E-2</v>
      </c>
      <c r="E29" s="263">
        <f t="shared" si="1"/>
        <v>1</v>
      </c>
      <c r="F29" s="587"/>
      <c r="G29" s="587"/>
      <c r="H29" s="264">
        <f t="shared" ref="H29:H38" si="2">+IF(D29="","",((D29*100%)/$G$23)+H28)</f>
        <v>0.24930000000000002</v>
      </c>
      <c r="I29" s="621"/>
      <c r="J29" s="185"/>
      <c r="K29" s="185"/>
      <c r="M29" s="188"/>
    </row>
    <row r="30" spans="2:14" ht="15.6" customHeight="1" x14ac:dyDescent="0.2">
      <c r="B30" s="191" t="s">
        <v>116</v>
      </c>
      <c r="C30" s="228">
        <f t="shared" si="0"/>
        <v>2.4989999999999998E-2</v>
      </c>
      <c r="D30" s="228">
        <f t="shared" si="0"/>
        <v>2.4989999999999998E-2</v>
      </c>
      <c r="E30" s="263">
        <f t="shared" si="1"/>
        <v>1</v>
      </c>
      <c r="F30" s="587"/>
      <c r="G30" s="587"/>
      <c r="H30" s="264">
        <f t="shared" si="2"/>
        <v>0.33260000000000001</v>
      </c>
      <c r="I30" s="621"/>
      <c r="J30" s="185"/>
      <c r="K30" s="185"/>
      <c r="M30" s="188"/>
    </row>
    <row r="31" spans="2:14" ht="15.6" customHeight="1" x14ac:dyDescent="0.2">
      <c r="B31" s="191" t="s">
        <v>117</v>
      </c>
      <c r="C31" s="228">
        <f t="shared" si="0"/>
        <v>2.4989999999999998E-2</v>
      </c>
      <c r="D31" s="228">
        <f t="shared" si="0"/>
        <v>2.4989999999999998E-2</v>
      </c>
      <c r="E31" s="263">
        <f t="shared" si="1"/>
        <v>1</v>
      </c>
      <c r="F31" s="587"/>
      <c r="G31" s="587"/>
      <c r="H31" s="264">
        <f t="shared" si="2"/>
        <v>0.41589999999999999</v>
      </c>
      <c r="I31" s="621"/>
      <c r="J31" s="185"/>
      <c r="K31" s="185"/>
      <c r="M31" s="188"/>
    </row>
    <row r="32" spans="2:14" ht="15.6" customHeight="1" x14ac:dyDescent="0.2">
      <c r="B32" s="191" t="s">
        <v>118</v>
      </c>
      <c r="C32" s="228">
        <f t="shared" si="0"/>
        <v>2.4989999999999998E-2</v>
      </c>
      <c r="D32" s="228">
        <f t="shared" si="0"/>
        <v>2.4989999999999998E-2</v>
      </c>
      <c r="E32" s="263">
        <f t="shared" si="1"/>
        <v>1</v>
      </c>
      <c r="F32" s="587"/>
      <c r="G32" s="587"/>
      <c r="H32" s="264">
        <f t="shared" si="2"/>
        <v>0.49919999999999998</v>
      </c>
      <c r="I32" s="621"/>
      <c r="J32" s="185"/>
      <c r="K32" s="185"/>
      <c r="M32" s="188"/>
    </row>
    <row r="33" spans="2:11" ht="19.5" customHeight="1" x14ac:dyDescent="0.2">
      <c r="B33" s="191" t="s">
        <v>119</v>
      </c>
      <c r="C33" s="228">
        <f t="shared" si="0"/>
        <v>2.4989999999999998E-2</v>
      </c>
      <c r="D33" s="228">
        <f t="shared" si="0"/>
        <v>2.4989999999999998E-2</v>
      </c>
      <c r="E33" s="263">
        <f t="shared" si="1"/>
        <v>1</v>
      </c>
      <c r="F33" s="587"/>
      <c r="G33" s="587"/>
      <c r="H33" s="264">
        <f t="shared" si="2"/>
        <v>0.58250000000000002</v>
      </c>
      <c r="I33" s="621"/>
      <c r="J33" s="195"/>
      <c r="K33" s="195"/>
    </row>
    <row r="34" spans="2:11" ht="19.5" customHeight="1" x14ac:dyDescent="0.2">
      <c r="B34" s="191" t="s">
        <v>120</v>
      </c>
      <c r="C34" s="228">
        <f t="shared" si="0"/>
        <v>2.4989999999999998E-2</v>
      </c>
      <c r="D34" s="228">
        <f t="shared" si="0"/>
        <v>2.4989999999999998E-2</v>
      </c>
      <c r="E34" s="263">
        <f t="shared" si="1"/>
        <v>1</v>
      </c>
      <c r="F34" s="587"/>
      <c r="G34" s="587"/>
      <c r="H34" s="264">
        <f t="shared" si="2"/>
        <v>0.66580000000000006</v>
      </c>
      <c r="I34" s="621"/>
      <c r="J34" s="195"/>
      <c r="K34" s="195"/>
    </row>
    <row r="35" spans="2:11" ht="19.5" customHeight="1" x14ac:dyDescent="0.2">
      <c r="B35" s="191" t="s">
        <v>121</v>
      </c>
      <c r="C35" s="228">
        <f>0.0834*$G$23</f>
        <v>2.5020000000000001E-2</v>
      </c>
      <c r="D35" s="228">
        <f>0.0834*$G$23</f>
        <v>2.5020000000000001E-2</v>
      </c>
      <c r="E35" s="263">
        <f t="shared" si="1"/>
        <v>1</v>
      </c>
      <c r="F35" s="587"/>
      <c r="G35" s="587"/>
      <c r="H35" s="264">
        <f t="shared" si="2"/>
        <v>0.74920000000000009</v>
      </c>
      <c r="I35" s="621"/>
      <c r="J35" s="195"/>
      <c r="K35" s="195"/>
    </row>
    <row r="36" spans="2:11" ht="19.5" customHeight="1" x14ac:dyDescent="0.2">
      <c r="B36" s="191" t="s">
        <v>122</v>
      </c>
      <c r="C36" s="228">
        <f>0.0834*$G$23</f>
        <v>2.5020000000000001E-2</v>
      </c>
      <c r="D36" s="228">
        <f>0.0834*$G$23</f>
        <v>2.5020000000000001E-2</v>
      </c>
      <c r="E36" s="263">
        <f t="shared" si="1"/>
        <v>1</v>
      </c>
      <c r="F36" s="587"/>
      <c r="G36" s="587"/>
      <c r="H36" s="264">
        <f t="shared" si="2"/>
        <v>0.83260000000000012</v>
      </c>
      <c r="I36" s="621"/>
      <c r="J36" s="195"/>
      <c r="K36" s="195"/>
    </row>
    <row r="37" spans="2:11" ht="19.5" customHeight="1" x14ac:dyDescent="0.2">
      <c r="B37" s="191" t="s">
        <v>123</v>
      </c>
      <c r="C37" s="228">
        <f>0.0834*$G$23</f>
        <v>2.5020000000000001E-2</v>
      </c>
      <c r="D37" s="228"/>
      <c r="E37" s="263">
        <f t="shared" si="1"/>
        <v>0</v>
      </c>
      <c r="F37" s="587"/>
      <c r="G37" s="587"/>
      <c r="H37" s="264" t="str">
        <f t="shared" si="2"/>
        <v/>
      </c>
      <c r="I37" s="621"/>
      <c r="J37" s="195"/>
      <c r="K37" s="195"/>
    </row>
    <row r="38" spans="2:11" ht="19.5" customHeight="1" x14ac:dyDescent="0.2">
      <c r="B38" s="191" t="s">
        <v>124</v>
      </c>
      <c r="C38" s="228">
        <f>0.0834*$G$23</f>
        <v>2.5020000000000001E-2</v>
      </c>
      <c r="D38" s="228"/>
      <c r="E38" s="263">
        <f t="shared" si="1"/>
        <v>0</v>
      </c>
      <c r="F38" s="588"/>
      <c r="G38" s="588"/>
      <c r="H38" s="264" t="str">
        <f t="shared" si="2"/>
        <v/>
      </c>
      <c r="I38" s="622"/>
      <c r="J38" s="195"/>
      <c r="K38" s="195"/>
    </row>
    <row r="39" spans="2:11" ht="52.5" customHeight="1" x14ac:dyDescent="0.2">
      <c r="B39" s="229" t="s">
        <v>277</v>
      </c>
      <c r="C39" s="835" t="s">
        <v>392</v>
      </c>
      <c r="D39" s="836"/>
      <c r="E39" s="836"/>
      <c r="F39" s="836"/>
      <c r="G39" s="836"/>
      <c r="H39" s="836"/>
      <c r="I39" s="837"/>
      <c r="J39" s="196"/>
      <c r="K39" s="196"/>
    </row>
    <row r="40" spans="2:11" ht="47.45" customHeight="1" x14ac:dyDescent="0.2">
      <c r="B40" s="571"/>
      <c r="C40" s="572"/>
      <c r="D40" s="572"/>
      <c r="E40" s="572"/>
      <c r="F40" s="572"/>
      <c r="G40" s="572"/>
      <c r="H40" s="572"/>
      <c r="I40" s="573"/>
      <c r="J40" s="175"/>
      <c r="K40" s="175"/>
    </row>
    <row r="41" spans="2:11" ht="47.45" customHeight="1" x14ac:dyDescent="0.2">
      <c r="B41" s="574"/>
      <c r="C41" s="575"/>
      <c r="D41" s="575"/>
      <c r="E41" s="575"/>
      <c r="F41" s="575"/>
      <c r="G41" s="575"/>
      <c r="H41" s="575"/>
      <c r="I41" s="576"/>
      <c r="J41" s="196"/>
      <c r="K41" s="196"/>
    </row>
    <row r="42" spans="2:11" ht="47.45" customHeight="1" x14ac:dyDescent="0.2">
      <c r="B42" s="574"/>
      <c r="C42" s="575"/>
      <c r="D42" s="575"/>
      <c r="E42" s="575"/>
      <c r="F42" s="575"/>
      <c r="G42" s="575"/>
      <c r="H42" s="575"/>
      <c r="I42" s="576"/>
      <c r="J42" s="196"/>
      <c r="K42" s="196"/>
    </row>
    <row r="43" spans="2:11" ht="47.45" customHeight="1" x14ac:dyDescent="0.2">
      <c r="B43" s="574"/>
      <c r="C43" s="575"/>
      <c r="D43" s="575"/>
      <c r="E43" s="575"/>
      <c r="F43" s="575"/>
      <c r="G43" s="575"/>
      <c r="H43" s="575"/>
      <c r="I43" s="576"/>
      <c r="J43" s="196"/>
      <c r="K43" s="196"/>
    </row>
    <row r="44" spans="2:11" ht="47.45" customHeight="1" x14ac:dyDescent="0.2">
      <c r="B44" s="577"/>
      <c r="C44" s="578"/>
      <c r="D44" s="578"/>
      <c r="E44" s="578"/>
      <c r="F44" s="578"/>
      <c r="G44" s="578"/>
      <c r="H44" s="578"/>
      <c r="I44" s="579"/>
      <c r="J44" s="174"/>
      <c r="K44" s="174"/>
    </row>
    <row r="45" spans="2:11" ht="408.6" customHeight="1" x14ac:dyDescent="0.2">
      <c r="B45" s="224" t="s">
        <v>278</v>
      </c>
      <c r="C45" s="838" t="s">
        <v>413</v>
      </c>
      <c r="D45" s="839"/>
      <c r="E45" s="839"/>
      <c r="F45" s="839"/>
      <c r="G45" s="839"/>
      <c r="H45" s="839"/>
      <c r="I45" s="840"/>
      <c r="J45" s="197"/>
      <c r="K45" s="197"/>
    </row>
    <row r="46" spans="2:11" ht="64.900000000000006" customHeight="1" x14ac:dyDescent="0.2">
      <c r="B46" s="224" t="s">
        <v>279</v>
      </c>
      <c r="C46" s="597" t="s">
        <v>399</v>
      </c>
      <c r="D46" s="598"/>
      <c r="E46" s="598"/>
      <c r="F46" s="598"/>
      <c r="G46" s="598"/>
      <c r="H46" s="598"/>
      <c r="I46" s="599"/>
      <c r="J46" s="197"/>
      <c r="K46" s="197"/>
    </row>
    <row r="47" spans="2:11" ht="66" customHeight="1" x14ac:dyDescent="0.2">
      <c r="B47" s="230" t="s">
        <v>280</v>
      </c>
      <c r="C47" s="600" t="s">
        <v>400</v>
      </c>
      <c r="D47" s="601"/>
      <c r="E47" s="601"/>
      <c r="F47" s="601"/>
      <c r="G47" s="601"/>
      <c r="H47" s="601"/>
      <c r="I47" s="602"/>
      <c r="J47" s="197"/>
      <c r="K47" s="197"/>
    </row>
    <row r="48" spans="2:11" ht="22.5" customHeight="1" x14ac:dyDescent="0.2">
      <c r="B48" s="522" t="s">
        <v>236</v>
      </c>
      <c r="C48" s="523"/>
      <c r="D48" s="523"/>
      <c r="E48" s="523"/>
      <c r="F48" s="523"/>
      <c r="G48" s="523"/>
      <c r="H48" s="523"/>
      <c r="I48" s="524"/>
      <c r="J48" s="197"/>
      <c r="K48" s="197"/>
    </row>
    <row r="49" spans="2:11" ht="22.5" customHeight="1" x14ac:dyDescent="0.2">
      <c r="B49" s="593" t="s">
        <v>281</v>
      </c>
      <c r="C49" s="218" t="s">
        <v>282</v>
      </c>
      <c r="D49" s="595" t="s">
        <v>283</v>
      </c>
      <c r="E49" s="595"/>
      <c r="F49" s="595"/>
      <c r="G49" s="595" t="s">
        <v>284</v>
      </c>
      <c r="H49" s="595"/>
      <c r="I49" s="596"/>
      <c r="J49" s="198"/>
      <c r="K49" s="198"/>
    </row>
    <row r="50" spans="2:11" ht="30.75" customHeight="1" x14ac:dyDescent="0.2">
      <c r="B50" s="594"/>
      <c r="C50" s="232"/>
      <c r="D50" s="634"/>
      <c r="E50" s="634"/>
      <c r="F50" s="634"/>
      <c r="G50" s="634"/>
      <c r="H50" s="634"/>
      <c r="I50" s="635"/>
      <c r="J50" s="198"/>
      <c r="K50" s="198"/>
    </row>
    <row r="51" spans="2:11" ht="32.25" customHeight="1" x14ac:dyDescent="0.2">
      <c r="B51" s="233" t="s">
        <v>285</v>
      </c>
      <c r="C51" s="742" t="s">
        <v>382</v>
      </c>
      <c r="D51" s="742"/>
      <c r="E51" s="742"/>
      <c r="F51" s="742"/>
      <c r="G51" s="742"/>
      <c r="H51" s="742"/>
      <c r="I51" s="743"/>
      <c r="J51" s="200"/>
      <c r="K51" s="200"/>
    </row>
    <row r="52" spans="2:11" ht="28.5" customHeight="1" x14ac:dyDescent="0.2">
      <c r="B52" s="234" t="s">
        <v>286</v>
      </c>
      <c r="C52" s="742" t="s">
        <v>382</v>
      </c>
      <c r="D52" s="742"/>
      <c r="E52" s="742"/>
      <c r="F52" s="742"/>
      <c r="G52" s="742"/>
      <c r="H52" s="742"/>
      <c r="I52" s="743"/>
      <c r="J52" s="200"/>
      <c r="K52" s="200"/>
    </row>
    <row r="53" spans="2:11" ht="30" customHeight="1" x14ac:dyDescent="0.2">
      <c r="B53" s="230" t="s">
        <v>287</v>
      </c>
      <c r="C53" s="742" t="s">
        <v>359</v>
      </c>
      <c r="D53" s="742"/>
      <c r="E53" s="742"/>
      <c r="F53" s="742"/>
      <c r="G53" s="742"/>
      <c r="H53" s="742"/>
      <c r="I53" s="743"/>
      <c r="J53" s="201"/>
      <c r="K53" s="201"/>
    </row>
    <row r="54" spans="2:11" ht="31.5" customHeight="1" thickBot="1" x14ac:dyDescent="0.25">
      <c r="B54" s="211" t="s">
        <v>288</v>
      </c>
      <c r="C54" s="742" t="s">
        <v>359</v>
      </c>
      <c r="D54" s="742"/>
      <c r="E54" s="742"/>
      <c r="F54" s="742"/>
      <c r="G54" s="742"/>
      <c r="H54" s="742"/>
      <c r="I54" s="743"/>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C52:I52"/>
    <mergeCell ref="C53:I53"/>
    <mergeCell ref="C54:I54"/>
    <mergeCell ref="B49:B50"/>
    <mergeCell ref="D49:F49"/>
    <mergeCell ref="G49:I49"/>
    <mergeCell ref="D50:F50"/>
    <mergeCell ref="G50:I50"/>
    <mergeCell ref="C51:I51"/>
    <mergeCell ref="B48:I48"/>
    <mergeCell ref="C24:E24"/>
    <mergeCell ref="G24:I24"/>
    <mergeCell ref="B25:I25"/>
    <mergeCell ref="F27:F38"/>
    <mergeCell ref="G27:G38"/>
    <mergeCell ref="I27:I38"/>
    <mergeCell ref="C39:I39"/>
    <mergeCell ref="B40:I44"/>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98"/>
  <sheetViews>
    <sheetView view="pageBreakPreview" topLeftCell="A25" zoomScale="85" zoomScaleNormal="85" zoomScaleSheetLayoutView="85" zoomScalePageLayoutView="85" workbookViewId="0">
      <selection activeCell="C58" sqref="C58:I58"/>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10"/>
      <c r="C1" s="513" t="s">
        <v>25</v>
      </c>
      <c r="D1" s="513"/>
      <c r="E1" s="513"/>
      <c r="F1" s="513"/>
      <c r="G1" s="513"/>
      <c r="H1" s="513"/>
      <c r="I1" s="514"/>
      <c r="J1" s="170"/>
      <c r="K1" s="170"/>
      <c r="M1" s="172"/>
    </row>
    <row r="2" spans="2:14" ht="37.5" customHeight="1" x14ac:dyDescent="0.2">
      <c r="B2" s="511"/>
      <c r="C2" s="517" t="s">
        <v>239</v>
      </c>
      <c r="D2" s="517"/>
      <c r="E2" s="517"/>
      <c r="F2" s="517"/>
      <c r="G2" s="517"/>
      <c r="H2" s="517"/>
      <c r="I2" s="515"/>
      <c r="J2" s="170"/>
      <c r="K2" s="170"/>
      <c r="M2" s="172"/>
    </row>
    <row r="3" spans="2:14" ht="37.5" customHeight="1" thickBot="1" x14ac:dyDescent="0.25">
      <c r="B3" s="512"/>
      <c r="C3" s="518" t="s">
        <v>240</v>
      </c>
      <c r="D3" s="518"/>
      <c r="E3" s="518"/>
      <c r="F3" s="518" t="s">
        <v>241</v>
      </c>
      <c r="G3" s="518"/>
      <c r="H3" s="518"/>
      <c r="I3" s="516"/>
      <c r="J3" s="170"/>
      <c r="K3" s="170"/>
      <c r="M3" s="172"/>
    </row>
    <row r="4" spans="2:14" ht="23.25" customHeight="1" x14ac:dyDescent="0.2">
      <c r="B4" s="519" t="s">
        <v>357</v>
      </c>
      <c r="C4" s="520"/>
      <c r="D4" s="520"/>
      <c r="E4" s="520"/>
      <c r="F4" s="520"/>
      <c r="G4" s="520"/>
      <c r="H4" s="520"/>
      <c r="I4" s="521"/>
      <c r="J4" s="174"/>
      <c r="K4" s="174"/>
    </row>
    <row r="5" spans="2:14" ht="24" customHeight="1" x14ac:dyDescent="0.2">
      <c r="B5" s="522" t="s">
        <v>234</v>
      </c>
      <c r="C5" s="523"/>
      <c r="D5" s="523"/>
      <c r="E5" s="523"/>
      <c r="F5" s="523"/>
      <c r="G5" s="523"/>
      <c r="H5" s="523"/>
      <c r="I5" s="524"/>
      <c r="J5" s="175"/>
      <c r="K5" s="175"/>
      <c r="N5" s="176"/>
    </row>
    <row r="6" spans="2:14" ht="30.75" customHeight="1" x14ac:dyDescent="0.2">
      <c r="B6" s="224" t="s">
        <v>242</v>
      </c>
      <c r="C6" s="222">
        <v>6</v>
      </c>
      <c r="D6" s="525" t="s">
        <v>243</v>
      </c>
      <c r="E6" s="525"/>
      <c r="F6" s="526" t="s">
        <v>364</v>
      </c>
      <c r="G6" s="526"/>
      <c r="H6" s="526"/>
      <c r="I6" s="527"/>
      <c r="J6" s="177"/>
      <c r="K6" s="177"/>
      <c r="M6" s="172"/>
      <c r="N6" s="176"/>
    </row>
    <row r="7" spans="2:14" ht="30.75" customHeight="1" x14ac:dyDescent="0.2">
      <c r="B7" s="224" t="s">
        <v>244</v>
      </c>
      <c r="C7" s="222" t="s">
        <v>81</v>
      </c>
      <c r="D7" s="525" t="s">
        <v>245</v>
      </c>
      <c r="E7" s="525"/>
      <c r="F7" s="526" t="s">
        <v>325</v>
      </c>
      <c r="G7" s="526"/>
      <c r="H7" s="178" t="s">
        <v>246</v>
      </c>
      <c r="I7" s="223" t="s">
        <v>81</v>
      </c>
      <c r="J7" s="179"/>
      <c r="K7" s="179"/>
      <c r="M7" s="172"/>
      <c r="N7" s="176"/>
    </row>
    <row r="8" spans="2:14" ht="30.75" customHeight="1" x14ac:dyDescent="0.2">
      <c r="B8" s="224" t="s">
        <v>247</v>
      </c>
      <c r="C8" s="526" t="s">
        <v>289</v>
      </c>
      <c r="D8" s="526"/>
      <c r="E8" s="526"/>
      <c r="F8" s="526"/>
      <c r="G8" s="178" t="s">
        <v>248</v>
      </c>
      <c r="H8" s="531">
        <v>7550</v>
      </c>
      <c r="I8" s="532"/>
      <c r="J8" s="180"/>
      <c r="K8" s="180"/>
      <c r="M8" s="172"/>
      <c r="N8" s="176"/>
    </row>
    <row r="9" spans="2:14" ht="30.75" customHeight="1" x14ac:dyDescent="0.2">
      <c r="B9" s="224" t="s">
        <v>48</v>
      </c>
      <c r="C9" s="533" t="s">
        <v>60</v>
      </c>
      <c r="D9" s="533"/>
      <c r="E9" s="533"/>
      <c r="F9" s="533"/>
      <c r="G9" s="178" t="s">
        <v>249</v>
      </c>
      <c r="H9" s="534" t="s">
        <v>295</v>
      </c>
      <c r="I9" s="535"/>
      <c r="J9" s="181"/>
      <c r="K9" s="181"/>
      <c r="M9" s="182"/>
    </row>
    <row r="10" spans="2:14" ht="75.75" customHeight="1" x14ac:dyDescent="0.2">
      <c r="B10" s="224" t="s">
        <v>250</v>
      </c>
      <c r="C10" s="526" t="s">
        <v>349</v>
      </c>
      <c r="D10" s="526"/>
      <c r="E10" s="526"/>
      <c r="F10" s="526"/>
      <c r="G10" s="526"/>
      <c r="H10" s="526"/>
      <c r="I10" s="527"/>
      <c r="J10" s="183"/>
      <c r="K10" s="183"/>
      <c r="M10" s="182"/>
    </row>
    <row r="11" spans="2:14" ht="30.75" customHeight="1" x14ac:dyDescent="0.2">
      <c r="B11" s="224" t="s">
        <v>251</v>
      </c>
      <c r="C11" s="528" t="s">
        <v>363</v>
      </c>
      <c r="D11" s="528"/>
      <c r="E11" s="528"/>
      <c r="F11" s="528"/>
      <c r="G11" s="528"/>
      <c r="H11" s="528"/>
      <c r="I11" s="732"/>
      <c r="J11" s="179"/>
      <c r="K11" s="179"/>
      <c r="M11" s="182"/>
      <c r="N11" s="176"/>
    </row>
    <row r="12" spans="2:14" ht="30.75" customHeight="1" x14ac:dyDescent="0.2">
      <c r="B12" s="224" t="s">
        <v>254</v>
      </c>
      <c r="C12" s="536" t="s">
        <v>326</v>
      </c>
      <c r="D12" s="536"/>
      <c r="E12" s="536"/>
      <c r="F12" s="536"/>
      <c r="G12" s="178" t="s">
        <v>252</v>
      </c>
      <c r="H12" s="556" t="s">
        <v>91</v>
      </c>
      <c r="I12" s="557"/>
      <c r="J12" s="179"/>
      <c r="K12" s="179"/>
      <c r="M12" s="182"/>
      <c r="N12" s="176"/>
    </row>
    <row r="13" spans="2:14" ht="30.75" customHeight="1" x14ac:dyDescent="0.2">
      <c r="B13" s="224" t="s">
        <v>255</v>
      </c>
      <c r="C13" s="540" t="s">
        <v>330</v>
      </c>
      <c r="D13" s="540"/>
      <c r="E13" s="540"/>
      <c r="F13" s="540"/>
      <c r="G13" s="178" t="s">
        <v>253</v>
      </c>
      <c r="H13" s="528" t="s">
        <v>57</v>
      </c>
      <c r="I13" s="732"/>
      <c r="J13" s="179"/>
      <c r="K13" s="179"/>
      <c r="M13" s="182"/>
    </row>
    <row r="14" spans="2:14" ht="30" customHeight="1" x14ac:dyDescent="0.2">
      <c r="B14" s="224" t="s">
        <v>256</v>
      </c>
      <c r="C14" s="639" t="s">
        <v>375</v>
      </c>
      <c r="D14" s="639"/>
      <c r="E14" s="639"/>
      <c r="F14" s="639"/>
      <c r="G14" s="639"/>
      <c r="H14" s="639"/>
      <c r="I14" s="640"/>
      <c r="J14" s="183"/>
      <c r="K14" s="183"/>
      <c r="M14" s="182"/>
      <c r="N14" s="176"/>
    </row>
    <row r="15" spans="2:14" ht="30.75" customHeight="1" x14ac:dyDescent="0.2">
      <c r="B15" s="224" t="s">
        <v>257</v>
      </c>
      <c r="C15" s="529" t="s">
        <v>376</v>
      </c>
      <c r="D15" s="529"/>
      <c r="E15" s="529"/>
      <c r="F15" s="529"/>
      <c r="G15" s="529"/>
      <c r="H15" s="529"/>
      <c r="I15" s="530"/>
      <c r="J15" s="184"/>
      <c r="K15" s="184"/>
      <c r="M15" s="182"/>
      <c r="N15" s="176"/>
    </row>
    <row r="16" spans="2:14" ht="20.25" customHeight="1" x14ac:dyDescent="0.2">
      <c r="B16" s="224" t="s">
        <v>258</v>
      </c>
      <c r="C16" s="526" t="s">
        <v>306</v>
      </c>
      <c r="D16" s="526"/>
      <c r="E16" s="526"/>
      <c r="F16" s="526"/>
      <c r="G16" s="526"/>
      <c r="H16" s="526"/>
      <c r="I16" s="527"/>
      <c r="J16" s="185"/>
      <c r="K16" s="185"/>
      <c r="M16" s="182"/>
      <c r="N16" s="176"/>
    </row>
    <row r="17" spans="2:14" ht="30.75" customHeight="1" x14ac:dyDescent="0.2">
      <c r="B17" s="224" t="s">
        <v>259</v>
      </c>
      <c r="C17" s="528" t="s">
        <v>151</v>
      </c>
      <c r="D17" s="547"/>
      <c r="E17" s="547"/>
      <c r="F17" s="547"/>
      <c r="G17" s="547"/>
      <c r="H17" s="547"/>
      <c r="I17" s="548"/>
      <c r="J17" s="186"/>
      <c r="K17" s="186"/>
      <c r="M17" s="182"/>
      <c r="N17" s="176"/>
    </row>
    <row r="18" spans="2:14" ht="18" customHeight="1" x14ac:dyDescent="0.2">
      <c r="B18" s="549" t="s">
        <v>265</v>
      </c>
      <c r="C18" s="550" t="s">
        <v>237</v>
      </c>
      <c r="D18" s="550"/>
      <c r="E18" s="550"/>
      <c r="F18" s="551" t="s">
        <v>238</v>
      </c>
      <c r="G18" s="551"/>
      <c r="H18" s="551"/>
      <c r="I18" s="552"/>
      <c r="J18" s="187"/>
      <c r="K18" s="187"/>
      <c r="M18" s="182"/>
      <c r="N18" s="176"/>
    </row>
    <row r="19" spans="2:14" ht="39.75" customHeight="1" x14ac:dyDescent="0.2">
      <c r="B19" s="549"/>
      <c r="C19" s="561" t="s">
        <v>377</v>
      </c>
      <c r="D19" s="562"/>
      <c r="E19" s="642"/>
      <c r="F19" s="526" t="str">
        <f>C19</f>
        <v>Actividades que se ejecutaron para la implementación de los procesos transversales</v>
      </c>
      <c r="G19" s="526"/>
      <c r="H19" s="526"/>
      <c r="I19" s="527"/>
      <c r="J19" s="185"/>
      <c r="K19" s="185"/>
      <c r="M19" s="182"/>
      <c r="N19" s="176"/>
    </row>
    <row r="20" spans="2:14" ht="39.75" customHeight="1" x14ac:dyDescent="0.2">
      <c r="B20" s="224" t="s">
        <v>266</v>
      </c>
      <c r="C20" s="561" t="s">
        <v>297</v>
      </c>
      <c r="D20" s="562"/>
      <c r="E20" s="642"/>
      <c r="F20" s="526" t="str">
        <f>C20</f>
        <v>Cantidad de actividades que se ejecutaron para la implementacion de los procesos transversales</v>
      </c>
      <c r="G20" s="526"/>
      <c r="H20" s="526"/>
      <c r="I20" s="527"/>
      <c r="J20" s="179"/>
      <c r="K20" s="179"/>
      <c r="M20" s="182"/>
      <c r="N20" s="176"/>
    </row>
    <row r="21" spans="2:14" ht="30" customHeight="1" x14ac:dyDescent="0.2">
      <c r="B21" s="224" t="s">
        <v>267</v>
      </c>
      <c r="C21" s="759"/>
      <c r="D21" s="760"/>
      <c r="E21" s="761"/>
      <c r="F21" s="569"/>
      <c r="G21" s="542"/>
      <c r="H21" s="542"/>
      <c r="I21" s="570"/>
      <c r="J21" s="184"/>
      <c r="K21" s="184"/>
      <c r="M21" s="188"/>
      <c r="N21" s="176"/>
    </row>
    <row r="22" spans="2:14" ht="23.25" customHeight="1" x14ac:dyDescent="0.2">
      <c r="B22" s="224" t="s">
        <v>268</v>
      </c>
      <c r="C22" s="541">
        <v>44197</v>
      </c>
      <c r="D22" s="564"/>
      <c r="E22" s="565"/>
      <c r="F22" s="178" t="s">
        <v>271</v>
      </c>
      <c r="G22" s="265">
        <v>8.7999999999999995E-2</v>
      </c>
      <c r="H22" s="178" t="s">
        <v>275</v>
      </c>
      <c r="I22" s="266">
        <v>8.7999999999999995E-2</v>
      </c>
      <c r="J22" s="189"/>
      <c r="K22" s="189"/>
      <c r="M22" s="188"/>
    </row>
    <row r="23" spans="2:14" ht="27" customHeight="1" x14ac:dyDescent="0.2">
      <c r="B23" s="224" t="s">
        <v>269</v>
      </c>
      <c r="C23" s="541">
        <v>44561</v>
      </c>
      <c r="D23" s="542"/>
      <c r="E23" s="543"/>
      <c r="F23" s="178" t="s">
        <v>272</v>
      </c>
      <c r="G23" s="756">
        <v>0.32</v>
      </c>
      <c r="H23" s="757"/>
      <c r="I23" s="758"/>
      <c r="J23" s="190"/>
      <c r="K23" s="190"/>
      <c r="M23" s="188"/>
    </row>
    <row r="24" spans="2:14" ht="30.75" customHeight="1" x14ac:dyDescent="0.2">
      <c r="B24" s="231" t="s">
        <v>270</v>
      </c>
      <c r="C24" s="566" t="s">
        <v>321</v>
      </c>
      <c r="D24" s="567"/>
      <c r="E24" s="568"/>
      <c r="F24" s="227" t="s">
        <v>274</v>
      </c>
      <c r="G24" s="569" t="s">
        <v>223</v>
      </c>
      <c r="H24" s="542"/>
      <c r="I24" s="570"/>
      <c r="J24" s="187"/>
      <c r="K24" s="187"/>
      <c r="M24" s="188"/>
    </row>
    <row r="25" spans="2:14" ht="22.5" customHeight="1" x14ac:dyDescent="0.2">
      <c r="B25" s="522" t="s">
        <v>235</v>
      </c>
      <c r="C25" s="523"/>
      <c r="D25" s="523"/>
      <c r="E25" s="523"/>
      <c r="F25" s="523"/>
      <c r="G25" s="523"/>
      <c r="H25" s="523"/>
      <c r="I25" s="524"/>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6">
        <f>8.228%*G23</f>
        <v>2.6329599999999998E-2</v>
      </c>
      <c r="D27" s="287">
        <f>8.23%*G23</f>
        <v>2.6335999999999998E-2</v>
      </c>
      <c r="E27" s="288">
        <f>IF(OR(C27=0,C27=""),0,D27/C27)</f>
        <v>1.0002430724355857</v>
      </c>
      <c r="F27" s="766">
        <f>SUM(C27:C38)</f>
        <v>0.32000960000000001</v>
      </c>
      <c r="G27" s="583">
        <f>SUM(D27:D38)</f>
        <v>0.25552639999999999</v>
      </c>
      <c r="H27" s="285">
        <f>+(D27*100%)/$G$23</f>
        <v>8.2299999999999998E-2</v>
      </c>
      <c r="I27" s="769">
        <f>G27+I22</f>
        <v>0.34352640000000001</v>
      </c>
      <c r="J27" s="284"/>
      <c r="K27" s="284"/>
      <c r="L27" s="12"/>
      <c r="M27" s="188"/>
    </row>
    <row r="28" spans="2:14" ht="15.6" customHeight="1" x14ac:dyDescent="0.2">
      <c r="B28" s="191" t="s">
        <v>114</v>
      </c>
      <c r="C28" s="286">
        <f>6.06%*G23</f>
        <v>1.9392E-2</v>
      </c>
      <c r="D28" s="287">
        <f>5.77%*G23</f>
        <v>1.8463999999999998E-2</v>
      </c>
      <c r="E28" s="288">
        <f t="shared" ref="E28:E38" si="0">IF(OR(C28=0,C28=""),0,D28/C28)</f>
        <v>0.95214521452145207</v>
      </c>
      <c r="F28" s="767"/>
      <c r="G28" s="584"/>
      <c r="H28" s="285">
        <f>+IF(D28="","",((D28*100%)/$G$23)+H27)</f>
        <v>0.13999999999999999</v>
      </c>
      <c r="I28" s="770"/>
      <c r="J28" s="248"/>
      <c r="K28" s="284"/>
      <c r="L28" s="12"/>
      <c r="M28" s="188"/>
    </row>
    <row r="29" spans="2:14" ht="15.6" customHeight="1" x14ac:dyDescent="0.2">
      <c r="B29" s="191" t="s">
        <v>115</v>
      </c>
      <c r="C29" s="286">
        <f>6.06%*G23</f>
        <v>1.9392E-2</v>
      </c>
      <c r="D29" s="287">
        <f>5.11%*G23</f>
        <v>1.6352000000000002E-2</v>
      </c>
      <c r="E29" s="288">
        <f t="shared" si="0"/>
        <v>0.84323432343234339</v>
      </c>
      <c r="F29" s="767"/>
      <c r="G29" s="584"/>
      <c r="H29" s="285">
        <f t="shared" ref="H29:H38" si="1">+IF(D29="","",((D29*100%)/$G$23)+H28)</f>
        <v>0.19109999999999999</v>
      </c>
      <c r="I29" s="770"/>
      <c r="J29" s="248"/>
      <c r="K29" s="284"/>
      <c r="L29" s="12"/>
      <c r="M29" s="188"/>
    </row>
    <row r="30" spans="2:14" ht="15.6" customHeight="1" x14ac:dyDescent="0.2">
      <c r="B30" s="191" t="s">
        <v>116</v>
      </c>
      <c r="C30" s="286">
        <f>8.56%*G23</f>
        <v>2.7392000000000003E-2</v>
      </c>
      <c r="D30" s="287">
        <f>7.3%*G23</f>
        <v>2.3359999999999999E-2</v>
      </c>
      <c r="E30" s="288">
        <f t="shared" si="0"/>
        <v>0.85280373831775691</v>
      </c>
      <c r="F30" s="767"/>
      <c r="G30" s="584"/>
      <c r="H30" s="285">
        <f t="shared" si="1"/>
        <v>0.2641</v>
      </c>
      <c r="I30" s="770"/>
      <c r="J30" s="248"/>
      <c r="K30" s="284"/>
      <c r="L30" s="12"/>
      <c r="M30" s="188"/>
    </row>
    <row r="31" spans="2:14" ht="15.6" customHeight="1" x14ac:dyDescent="0.2">
      <c r="B31" s="191" t="s">
        <v>117</v>
      </c>
      <c r="C31" s="286">
        <f>8.76%*G23</f>
        <v>2.8032000000000001E-2</v>
      </c>
      <c r="D31" s="287">
        <f>9.47%*G23</f>
        <v>3.0304000000000001E-2</v>
      </c>
      <c r="E31" s="288">
        <f>IF(OR(C30=0,C30=""),0,D31/C30)</f>
        <v>1.1063084112149533</v>
      </c>
      <c r="F31" s="767"/>
      <c r="G31" s="584"/>
      <c r="H31" s="285">
        <f t="shared" si="1"/>
        <v>0.35880000000000001</v>
      </c>
      <c r="I31" s="770"/>
      <c r="J31" s="248"/>
      <c r="K31" s="284"/>
      <c r="L31" s="12"/>
      <c r="M31" s="188"/>
    </row>
    <row r="32" spans="2:14" ht="15.6" customHeight="1" x14ac:dyDescent="0.2">
      <c r="B32" s="191" t="s">
        <v>118</v>
      </c>
      <c r="C32" s="286">
        <f>9.35%*G23</f>
        <v>2.9920000000000002E-2</v>
      </c>
      <c r="D32" s="287">
        <f>3.14%*G23</f>
        <v>1.0048000000000001E-2</v>
      </c>
      <c r="E32" s="288">
        <f t="shared" si="0"/>
        <v>0.33582887700534764</v>
      </c>
      <c r="F32" s="767"/>
      <c r="G32" s="584"/>
      <c r="H32" s="285">
        <f t="shared" si="1"/>
        <v>0.39019999999999999</v>
      </c>
      <c r="I32" s="770"/>
      <c r="J32" s="248"/>
      <c r="K32" s="284"/>
      <c r="L32" s="12"/>
      <c r="M32" s="188"/>
    </row>
    <row r="33" spans="2:12" ht="19.5" customHeight="1" x14ac:dyDescent="0.2">
      <c r="B33" s="191" t="s">
        <v>119</v>
      </c>
      <c r="C33" s="286">
        <f>10.47%*G23</f>
        <v>3.3503999999999999E-2</v>
      </c>
      <c r="D33" s="287">
        <f>17.82%*G23</f>
        <v>5.7023999999999998E-2</v>
      </c>
      <c r="E33" s="288">
        <f t="shared" si="0"/>
        <v>1.7020057306590257</v>
      </c>
      <c r="F33" s="767"/>
      <c r="G33" s="584"/>
      <c r="H33" s="285">
        <f t="shared" si="1"/>
        <v>0.56840000000000002</v>
      </c>
      <c r="I33" s="770"/>
      <c r="J33" s="297"/>
      <c r="K33" s="284"/>
      <c r="L33" s="12"/>
    </row>
    <row r="34" spans="2:12" ht="19.5" customHeight="1" x14ac:dyDescent="0.2">
      <c r="B34" s="191" t="s">
        <v>120</v>
      </c>
      <c r="C34" s="286">
        <f>6.55%*G23</f>
        <v>2.0960000000000003E-2</v>
      </c>
      <c r="D34" s="287">
        <f>+G23*9.17%</f>
        <v>2.9344000000000002E-2</v>
      </c>
      <c r="E34" s="288">
        <f t="shared" si="0"/>
        <v>1.4</v>
      </c>
      <c r="F34" s="767"/>
      <c r="G34" s="584"/>
      <c r="H34" s="285">
        <f t="shared" si="1"/>
        <v>0.66010000000000002</v>
      </c>
      <c r="I34" s="770"/>
      <c r="J34" s="248"/>
      <c r="K34" s="284"/>
      <c r="L34" s="12"/>
    </row>
    <row r="35" spans="2:12" ht="19.5" customHeight="1" x14ac:dyDescent="0.2">
      <c r="B35" s="191" t="s">
        <v>121</v>
      </c>
      <c r="C35" s="286">
        <f>8.025%*G23</f>
        <v>2.5680000000000001E-2</v>
      </c>
      <c r="D35" s="287">
        <f>8.042%*G23</f>
        <v>2.5734399999999998E-2</v>
      </c>
      <c r="E35" s="288">
        <f>(D35/C35)</f>
        <v>1.0021183800623052</v>
      </c>
      <c r="F35" s="767"/>
      <c r="G35" s="584"/>
      <c r="H35" s="285">
        <f t="shared" si="1"/>
        <v>0.74052000000000007</v>
      </c>
      <c r="I35" s="770"/>
      <c r="J35" s="248"/>
      <c r="K35" s="284"/>
      <c r="L35" s="12"/>
    </row>
    <row r="36" spans="2:12" ht="19.5" customHeight="1" x14ac:dyDescent="0.2">
      <c r="B36" s="191" t="s">
        <v>122</v>
      </c>
      <c r="C36" s="286">
        <f>5.8%*G23</f>
        <v>1.856E-2</v>
      </c>
      <c r="D36" s="287">
        <f>5.8%*G23</f>
        <v>1.856E-2</v>
      </c>
      <c r="E36" s="288">
        <f t="shared" si="0"/>
        <v>1</v>
      </c>
      <c r="F36" s="767"/>
      <c r="G36" s="584"/>
      <c r="H36" s="285">
        <f t="shared" si="1"/>
        <v>0.79852000000000012</v>
      </c>
      <c r="I36" s="770"/>
      <c r="J36" s="248"/>
      <c r="K36" s="284"/>
      <c r="L36" s="12"/>
    </row>
    <row r="37" spans="2:12" ht="19.5" customHeight="1" x14ac:dyDescent="0.2">
      <c r="B37" s="191" t="s">
        <v>123</v>
      </c>
      <c r="C37" s="286">
        <f>8.16%*G23</f>
        <v>2.6112000000000003E-2</v>
      </c>
      <c r="D37" s="287">
        <v>0</v>
      </c>
      <c r="E37" s="288">
        <f t="shared" si="0"/>
        <v>0</v>
      </c>
      <c r="F37" s="767"/>
      <c r="G37" s="584"/>
      <c r="H37" s="285">
        <f t="shared" si="1"/>
        <v>0.79852000000000012</v>
      </c>
      <c r="I37" s="770"/>
      <c r="J37" s="248"/>
      <c r="K37" s="284"/>
      <c r="L37" s="12"/>
    </row>
    <row r="38" spans="2:12" ht="19.5" customHeight="1" x14ac:dyDescent="0.2">
      <c r="B38" s="191" t="s">
        <v>124</v>
      </c>
      <c r="C38" s="286">
        <f>13.98%*G23</f>
        <v>4.4736000000000005E-2</v>
      </c>
      <c r="D38" s="287">
        <v>0</v>
      </c>
      <c r="E38" s="288">
        <f t="shared" si="0"/>
        <v>0</v>
      </c>
      <c r="F38" s="768"/>
      <c r="G38" s="585"/>
      <c r="H38" s="285">
        <f t="shared" si="1"/>
        <v>0.79852000000000012</v>
      </c>
      <c r="I38" s="771"/>
      <c r="J38" s="248"/>
      <c r="K38" s="38"/>
      <c r="L38" s="12"/>
    </row>
    <row r="39" spans="2:12" ht="24" x14ac:dyDescent="0.2">
      <c r="B39" s="283" t="s">
        <v>277</v>
      </c>
      <c r="C39" s="762"/>
      <c r="D39" s="762"/>
      <c r="E39" s="762"/>
      <c r="F39" s="762"/>
      <c r="G39" s="762"/>
      <c r="H39" s="762"/>
      <c r="I39" s="762"/>
      <c r="J39" s="249"/>
      <c r="K39" s="249"/>
      <c r="L39" s="12"/>
    </row>
    <row r="40" spans="2:12" ht="34.5" customHeight="1" x14ac:dyDescent="0.2">
      <c r="B40" s="571"/>
      <c r="C40" s="572"/>
      <c r="D40" s="572"/>
      <c r="E40" s="572"/>
      <c r="F40" s="572"/>
      <c r="G40" s="572"/>
      <c r="H40" s="572"/>
      <c r="I40" s="573"/>
      <c r="J40" s="175"/>
      <c r="K40" s="175"/>
    </row>
    <row r="41" spans="2:12" ht="34.5" customHeight="1" x14ac:dyDescent="0.2">
      <c r="B41" s="574"/>
      <c r="C41" s="575"/>
      <c r="D41" s="575"/>
      <c r="E41" s="575"/>
      <c r="F41" s="575"/>
      <c r="G41" s="575"/>
      <c r="H41" s="575"/>
      <c r="I41" s="576"/>
      <c r="J41" s="196"/>
      <c r="K41" s="196"/>
    </row>
    <row r="42" spans="2:12" ht="34.5" customHeight="1" x14ac:dyDescent="0.2">
      <c r="B42" s="574"/>
      <c r="C42" s="575"/>
      <c r="D42" s="575"/>
      <c r="E42" s="575"/>
      <c r="F42" s="575"/>
      <c r="G42" s="575"/>
      <c r="H42" s="575"/>
      <c r="I42" s="576"/>
      <c r="J42" s="196"/>
      <c r="K42" s="196"/>
    </row>
    <row r="43" spans="2:12" ht="34.5" customHeight="1" x14ac:dyDescent="0.2">
      <c r="B43" s="574"/>
      <c r="C43" s="575"/>
      <c r="D43" s="575"/>
      <c r="E43" s="575"/>
      <c r="F43" s="575"/>
      <c r="G43" s="575"/>
      <c r="H43" s="575"/>
      <c r="I43" s="576"/>
      <c r="J43" s="196"/>
      <c r="K43" s="196"/>
    </row>
    <row r="44" spans="2:12" ht="34.5" customHeight="1" x14ac:dyDescent="0.2">
      <c r="B44" s="577"/>
      <c r="C44" s="578"/>
      <c r="D44" s="578"/>
      <c r="E44" s="578"/>
      <c r="F44" s="578"/>
      <c r="G44" s="578"/>
      <c r="H44" s="578"/>
      <c r="I44" s="579"/>
      <c r="J44" s="174"/>
      <c r="K44" s="174"/>
    </row>
    <row r="45" spans="2:12" ht="209.25" customHeight="1" x14ac:dyDescent="0.2">
      <c r="B45" s="763" t="s">
        <v>278</v>
      </c>
      <c r="C45" s="841" t="s">
        <v>414</v>
      </c>
      <c r="D45" s="842"/>
      <c r="E45" s="842"/>
      <c r="F45" s="842"/>
      <c r="G45" s="842"/>
      <c r="H45" s="842"/>
      <c r="I45" s="843"/>
      <c r="J45" s="197"/>
      <c r="K45" s="197"/>
    </row>
    <row r="46" spans="2:12" ht="141.75" customHeight="1" x14ac:dyDescent="0.2">
      <c r="B46" s="764"/>
      <c r="C46" s="841" t="s">
        <v>415</v>
      </c>
      <c r="D46" s="842"/>
      <c r="E46" s="842"/>
      <c r="F46" s="842"/>
      <c r="G46" s="842"/>
      <c r="H46" s="842"/>
      <c r="I46" s="843"/>
      <c r="J46" s="197"/>
      <c r="K46" s="197"/>
    </row>
    <row r="47" spans="2:12" ht="142.5" customHeight="1" x14ac:dyDescent="0.2">
      <c r="B47" s="764"/>
      <c r="C47" s="841" t="s">
        <v>416</v>
      </c>
      <c r="D47" s="842"/>
      <c r="E47" s="842"/>
      <c r="F47" s="842"/>
      <c r="G47" s="842"/>
      <c r="H47" s="842"/>
      <c r="I47" s="843"/>
      <c r="J47" s="197"/>
      <c r="K47" s="197"/>
    </row>
    <row r="48" spans="2:12" ht="86.25" customHeight="1" x14ac:dyDescent="0.2">
      <c r="B48" s="764"/>
      <c r="C48" s="841" t="s">
        <v>417</v>
      </c>
      <c r="D48" s="842"/>
      <c r="E48" s="842"/>
      <c r="F48" s="842"/>
      <c r="G48" s="842"/>
      <c r="H48" s="842"/>
      <c r="I48" s="843"/>
      <c r="J48" s="197"/>
      <c r="K48" s="197"/>
    </row>
    <row r="49" spans="2:11" ht="93" customHeight="1" x14ac:dyDescent="0.2">
      <c r="B49" s="764"/>
      <c r="C49" s="841" t="s">
        <v>403</v>
      </c>
      <c r="D49" s="842"/>
      <c r="E49" s="842"/>
      <c r="F49" s="842"/>
      <c r="G49" s="842"/>
      <c r="H49" s="842"/>
      <c r="I49" s="843"/>
      <c r="J49" s="197"/>
      <c r="K49" s="197"/>
    </row>
    <row r="50" spans="2:11" ht="210.75" customHeight="1" x14ac:dyDescent="0.2">
      <c r="B50" s="765"/>
      <c r="C50" s="841" t="s">
        <v>418</v>
      </c>
      <c r="D50" s="842"/>
      <c r="E50" s="842"/>
      <c r="F50" s="842"/>
      <c r="G50" s="842"/>
      <c r="H50" s="842"/>
      <c r="I50" s="843"/>
      <c r="J50" s="197"/>
      <c r="K50" s="197"/>
    </row>
    <row r="51" spans="2:11" ht="60.75" customHeight="1" x14ac:dyDescent="0.2">
      <c r="B51" s="298" t="s">
        <v>279</v>
      </c>
      <c r="C51" s="841" t="s">
        <v>419</v>
      </c>
      <c r="D51" s="842"/>
      <c r="E51" s="842"/>
      <c r="F51" s="842"/>
      <c r="G51" s="842"/>
      <c r="H51" s="842"/>
      <c r="I51" s="843"/>
      <c r="J51" s="197"/>
      <c r="K51" s="197"/>
    </row>
    <row r="52" spans="2:11" ht="79.5" customHeight="1" x14ac:dyDescent="0.2">
      <c r="B52" s="230" t="s">
        <v>280</v>
      </c>
      <c r="C52" s="841" t="s">
        <v>395</v>
      </c>
      <c r="D52" s="842"/>
      <c r="E52" s="842"/>
      <c r="F52" s="842"/>
      <c r="G52" s="842"/>
      <c r="H52" s="842"/>
      <c r="I52" s="843"/>
      <c r="J52" s="197"/>
      <c r="K52" s="197"/>
    </row>
    <row r="53" spans="2:11" ht="22.5" customHeight="1" x14ac:dyDescent="0.2">
      <c r="B53" s="522" t="s">
        <v>236</v>
      </c>
      <c r="C53" s="523"/>
      <c r="D53" s="523"/>
      <c r="E53" s="523"/>
      <c r="F53" s="523"/>
      <c r="G53" s="523"/>
      <c r="H53" s="523"/>
      <c r="I53" s="524"/>
      <c r="J53" s="197"/>
      <c r="K53" s="197"/>
    </row>
    <row r="54" spans="2:11" ht="22.5" customHeight="1" x14ac:dyDescent="0.2">
      <c r="B54" s="593" t="s">
        <v>281</v>
      </c>
      <c r="C54" s="218" t="s">
        <v>282</v>
      </c>
      <c r="D54" s="595" t="s">
        <v>283</v>
      </c>
      <c r="E54" s="595"/>
      <c r="F54" s="595"/>
      <c r="G54" s="595" t="s">
        <v>284</v>
      </c>
      <c r="H54" s="595"/>
      <c r="I54" s="596"/>
      <c r="J54" s="198"/>
      <c r="K54" s="198"/>
    </row>
    <row r="55" spans="2:11" ht="30.75" customHeight="1" x14ac:dyDescent="0.2">
      <c r="B55" s="594"/>
      <c r="C55" s="232"/>
      <c r="D55" s="634"/>
      <c r="E55" s="634"/>
      <c r="F55" s="634"/>
      <c r="G55" s="634"/>
      <c r="H55" s="634"/>
      <c r="I55" s="635"/>
      <c r="J55" s="198"/>
      <c r="K55" s="198"/>
    </row>
    <row r="56" spans="2:11" ht="32.25" customHeight="1" x14ac:dyDescent="0.2">
      <c r="B56" s="233" t="s">
        <v>285</v>
      </c>
      <c r="C56" s="747" t="s">
        <v>420</v>
      </c>
      <c r="D56" s="747"/>
      <c r="E56" s="747"/>
      <c r="F56" s="747"/>
      <c r="G56" s="747"/>
      <c r="H56" s="747"/>
      <c r="I56" s="748"/>
      <c r="J56" s="200"/>
      <c r="K56" s="200"/>
    </row>
    <row r="57" spans="2:11" ht="28.5" customHeight="1" x14ac:dyDescent="0.2">
      <c r="B57" s="234" t="s">
        <v>286</v>
      </c>
      <c r="C57" s="747" t="s">
        <v>420</v>
      </c>
      <c r="D57" s="747"/>
      <c r="E57" s="747"/>
      <c r="F57" s="747"/>
      <c r="G57" s="747"/>
      <c r="H57" s="747"/>
      <c r="I57" s="748"/>
      <c r="J57" s="200"/>
      <c r="K57" s="200"/>
    </row>
    <row r="58" spans="2:11" ht="30" customHeight="1" x14ac:dyDescent="0.2">
      <c r="B58" s="230" t="s">
        <v>287</v>
      </c>
      <c r="C58" s="634" t="s">
        <v>355</v>
      </c>
      <c r="D58" s="634"/>
      <c r="E58" s="634"/>
      <c r="F58" s="634"/>
      <c r="G58" s="634"/>
      <c r="H58" s="634"/>
      <c r="I58" s="635"/>
      <c r="J58" s="201"/>
      <c r="K58" s="201"/>
    </row>
    <row r="59" spans="2:11" ht="31.5" customHeight="1" thickBot="1" x14ac:dyDescent="0.25">
      <c r="B59" s="211" t="s">
        <v>288</v>
      </c>
      <c r="C59" s="744" t="s">
        <v>374</v>
      </c>
      <c r="D59" s="745"/>
      <c r="E59" s="745"/>
      <c r="F59" s="745"/>
      <c r="G59" s="745"/>
      <c r="H59" s="745"/>
      <c r="I59" s="746"/>
      <c r="J59" s="202"/>
      <c r="K59" s="202"/>
    </row>
    <row r="60" spans="2:11" ht="13.15" customHeight="1" x14ac:dyDescent="0.2">
      <c r="B60" s="203"/>
      <c r="C60" s="204"/>
      <c r="D60" s="204"/>
      <c r="E60" s="205"/>
      <c r="F60" s="205"/>
      <c r="G60" s="212"/>
      <c r="H60" s="207"/>
      <c r="I60" s="204"/>
      <c r="J60" s="202"/>
      <c r="K60" s="202"/>
    </row>
    <row r="61" spans="2:11" ht="13.15" customHeight="1" x14ac:dyDescent="0.2">
      <c r="B61" s="753"/>
      <c r="C61" s="753"/>
      <c r="D61" s="753"/>
      <c r="E61" s="753"/>
      <c r="F61" s="753"/>
      <c r="G61" s="753"/>
      <c r="H61" s="753"/>
      <c r="I61" s="753"/>
      <c r="J61" s="202"/>
      <c r="K61" s="202"/>
    </row>
    <row r="62" spans="2:11" ht="13.15" customHeight="1" x14ac:dyDescent="0.2">
      <c r="B62" s="753"/>
      <c r="C62" s="753"/>
      <c r="D62" s="753"/>
      <c r="E62" s="753"/>
      <c r="F62" s="753"/>
      <c r="G62" s="753"/>
      <c r="H62" s="753"/>
      <c r="I62" s="753"/>
      <c r="J62" s="202"/>
      <c r="K62" s="202"/>
    </row>
    <row r="63" spans="2:11" ht="13.15" customHeight="1" x14ac:dyDescent="0.2">
      <c r="B63" s="753"/>
      <c r="C63" s="753"/>
      <c r="D63" s="753"/>
      <c r="E63" s="753"/>
      <c r="F63" s="753"/>
      <c r="G63" s="753"/>
      <c r="H63" s="753"/>
      <c r="I63" s="753"/>
      <c r="J63" s="202"/>
      <c r="K63" s="202"/>
    </row>
    <row r="64" spans="2:11" ht="13.15" customHeight="1" x14ac:dyDescent="0.2">
      <c r="B64" s="203"/>
      <c r="C64" s="204"/>
      <c r="D64" s="204"/>
      <c r="E64" s="205"/>
      <c r="F64" s="205"/>
      <c r="G64" s="212"/>
      <c r="H64" s="207"/>
      <c r="I64" s="204"/>
      <c r="J64" s="202"/>
      <c r="K64" s="202"/>
    </row>
    <row r="65" spans="2:11" ht="25.5" customHeight="1" x14ac:dyDescent="0.2">
      <c r="B65" s="203"/>
      <c r="C65" s="204"/>
      <c r="D65" s="204"/>
      <c r="E65" s="205"/>
      <c r="F65" s="205"/>
      <c r="G65" s="212"/>
      <c r="H65" s="207"/>
      <c r="I65" s="204"/>
      <c r="J65" s="202"/>
      <c r="K65" s="202"/>
    </row>
    <row r="66" spans="2:11" ht="13.15" customHeight="1" x14ac:dyDescent="0.2"/>
    <row r="67" spans="2:11" ht="13.15" customHeight="1" x14ac:dyDescent="0.2"/>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94" spans="6:12" ht="12.75" customHeight="1" x14ac:dyDescent="0.2">
      <c r="F94" s="754"/>
      <c r="G94" s="755"/>
      <c r="H94" s="755"/>
      <c r="I94" s="755"/>
      <c r="J94" s="755"/>
      <c r="K94" s="755"/>
      <c r="L94" s="755"/>
    </row>
    <row r="95" spans="6:12" ht="12.75" customHeight="1" x14ac:dyDescent="0.2">
      <c r="F95" s="749"/>
      <c r="G95" s="750"/>
      <c r="H95" s="750"/>
      <c r="I95" s="750"/>
      <c r="J95" s="750"/>
      <c r="K95" s="750"/>
      <c r="L95" s="750"/>
    </row>
    <row r="96" spans="6:12" ht="12.75" customHeight="1" x14ac:dyDescent="0.2">
      <c r="F96" s="749"/>
      <c r="G96" s="750"/>
      <c r="H96" s="750"/>
      <c r="I96" s="750"/>
      <c r="J96" s="750"/>
      <c r="K96" s="750"/>
      <c r="L96" s="750"/>
    </row>
    <row r="97" spans="6:12" ht="12.75" customHeight="1" x14ac:dyDescent="0.2">
      <c r="F97" s="749"/>
      <c r="G97" s="750"/>
      <c r="H97" s="750"/>
      <c r="I97" s="750"/>
      <c r="J97" s="750"/>
      <c r="K97" s="750"/>
      <c r="L97" s="750"/>
    </row>
    <row r="98" spans="6:12" ht="12.75" customHeight="1" x14ac:dyDescent="0.2">
      <c r="F98" s="751"/>
      <c r="G98" s="752"/>
      <c r="H98" s="752"/>
      <c r="I98" s="752"/>
      <c r="J98" s="752"/>
      <c r="K98" s="752"/>
      <c r="L98" s="752"/>
    </row>
  </sheetData>
  <mergeCells count="71">
    <mergeCell ref="C24:E24"/>
    <mergeCell ref="G24:I24"/>
    <mergeCell ref="B25:I25"/>
    <mergeCell ref="F27:F38"/>
    <mergeCell ref="G27:G38"/>
    <mergeCell ref="I27:I38"/>
    <mergeCell ref="C39:I39"/>
    <mergeCell ref="B40:I44"/>
    <mergeCell ref="C52:I52"/>
    <mergeCell ref="B45:B50"/>
    <mergeCell ref="C45:I45"/>
    <mergeCell ref="C46:I46"/>
    <mergeCell ref="C50:I50"/>
    <mergeCell ref="C49:I49"/>
    <mergeCell ref="C48:I48"/>
    <mergeCell ref="C47:I47"/>
    <mergeCell ref="C51:I51"/>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95:L95"/>
    <mergeCell ref="F96:L96"/>
    <mergeCell ref="F97:L97"/>
    <mergeCell ref="F98:L98"/>
    <mergeCell ref="B61:I63"/>
    <mergeCell ref="F94:L94"/>
    <mergeCell ref="B53:I53"/>
    <mergeCell ref="C58:I58"/>
    <mergeCell ref="C59:I59"/>
    <mergeCell ref="B54:B55"/>
    <mergeCell ref="D54:F54"/>
    <mergeCell ref="G54:I54"/>
    <mergeCell ref="D55:F55"/>
    <mergeCell ref="G55:I55"/>
    <mergeCell ref="C56:I56"/>
    <mergeCell ref="C57:I57"/>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henry</cp:lastModifiedBy>
  <cp:lastPrinted>2021-05-06T18:33:25Z</cp:lastPrinted>
  <dcterms:created xsi:type="dcterms:W3CDTF">2010-03-25T16:40:43Z</dcterms:created>
  <dcterms:modified xsi:type="dcterms:W3CDTF">2021-11-18T02:49:46Z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