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ANDRES\Documents\CARPETAANDRES\2021\ABRIL\Obligacion9\Reportemarzo\"/>
    </mc:Choice>
  </mc:AlternateContent>
  <xr:revisionPtr revIDLastSave="0" documentId="13_ncr:1_{C68C3080-128F-42FE-B7DC-B0DAF8FAC1F5}" xr6:coauthVersionLast="46" xr6:coauthVersionMax="46"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5" r:id="rId7"/>
    <sheet name="META 5" sheetId="90" r:id="rId8"/>
    <sheet name="META 6" sheetId="91" r:id="rId9"/>
    <sheet name="META 7" sheetId="92"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 localSheetId="9">#REF!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 localSheetId="5">#REF!</definedName>
    <definedName name="GRUPOS_ETNICOS" localSheetId="6">#REF!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91" l="1"/>
  <c r="C30" i="91"/>
  <c r="C31" i="91"/>
  <c r="C32" i="91"/>
  <c r="C33" i="91"/>
  <c r="C34" i="91"/>
  <c r="C35" i="91"/>
  <c r="C36" i="91"/>
  <c r="C37" i="91"/>
  <c r="C38" i="91"/>
  <c r="C27" i="91"/>
  <c r="C28" i="91"/>
  <c r="D29" i="91"/>
  <c r="D28" i="91"/>
  <c r="D29" i="92" l="1"/>
  <c r="D29" i="87"/>
  <c r="G27" i="91" l="1"/>
  <c r="F6" i="95"/>
  <c r="F6" i="91"/>
  <c r="F27" i="91" l="1"/>
  <c r="D29" i="90"/>
  <c r="D29" i="80" l="1"/>
  <c r="D28" i="92"/>
  <c r="H38" i="95" l="1"/>
  <c r="C38" i="95"/>
  <c r="E38" i="95" s="1"/>
  <c r="H37" i="95"/>
  <c r="E37" i="95"/>
  <c r="C37" i="95"/>
  <c r="H36" i="95"/>
  <c r="E36" i="95"/>
  <c r="C36" i="95"/>
  <c r="H35" i="95"/>
  <c r="E35" i="95"/>
  <c r="C35" i="95"/>
  <c r="H34" i="95"/>
  <c r="C34" i="95"/>
  <c r="E34" i="95" s="1"/>
  <c r="H33" i="95"/>
  <c r="E33" i="95"/>
  <c r="C33" i="95"/>
  <c r="H32" i="95"/>
  <c r="E32" i="95"/>
  <c r="C32" i="95"/>
  <c r="H31" i="95"/>
  <c r="E31" i="95"/>
  <c r="C31" i="95"/>
  <c r="H30" i="95"/>
  <c r="C30" i="95"/>
  <c r="E30" i="95" s="1"/>
  <c r="H29" i="95"/>
  <c r="E29" i="95"/>
  <c r="C29" i="95"/>
  <c r="E28" i="95"/>
  <c r="C28" i="95"/>
  <c r="D27" i="95"/>
  <c r="E27" i="95" s="1"/>
  <c r="C27" i="95"/>
  <c r="F27" i="95" s="1"/>
  <c r="G27" i="93"/>
  <c r="I27" i="93" s="1"/>
  <c r="D28" i="87"/>
  <c r="D28" i="80"/>
  <c r="C35" i="90"/>
  <c r="C36" i="90"/>
  <c r="C37" i="90"/>
  <c r="C38" i="90"/>
  <c r="C34" i="90"/>
  <c r="C33" i="90"/>
  <c r="C32" i="90"/>
  <c r="C31" i="90"/>
  <c r="C30" i="90"/>
  <c r="C29" i="90"/>
  <c r="C28" i="90"/>
  <c r="C27" i="90"/>
  <c r="H29" i="92"/>
  <c r="H30" i="92"/>
  <c r="H31" i="92"/>
  <c r="H32" i="92"/>
  <c r="H33" i="92"/>
  <c r="H34" i="92"/>
  <c r="H35" i="92"/>
  <c r="H36" i="92"/>
  <c r="H37" i="92"/>
  <c r="H38" i="92"/>
  <c r="E38" i="92"/>
  <c r="E37" i="92"/>
  <c r="E36" i="92"/>
  <c r="E35" i="92"/>
  <c r="E34" i="92"/>
  <c r="E33" i="92"/>
  <c r="E32" i="92"/>
  <c r="E31" i="92"/>
  <c r="E30" i="92"/>
  <c r="E29" i="92"/>
  <c r="E28" i="92"/>
  <c r="G27" i="92"/>
  <c r="I27" i="92" s="1"/>
  <c r="H27" i="92"/>
  <c r="H28" i="92" s="1"/>
  <c r="F27" i="92"/>
  <c r="E27" i="92"/>
  <c r="H38" i="91"/>
  <c r="E38" i="91"/>
  <c r="H37" i="91"/>
  <c r="E37" i="91"/>
  <c r="H36" i="91"/>
  <c r="E36" i="91"/>
  <c r="H35" i="91"/>
  <c r="E35" i="91"/>
  <c r="H34" i="91"/>
  <c r="E34" i="91"/>
  <c r="H33" i="91"/>
  <c r="E33" i="91"/>
  <c r="H32" i="91"/>
  <c r="E32" i="91"/>
  <c r="H31" i="91"/>
  <c r="E31" i="91"/>
  <c r="H30" i="91"/>
  <c r="E30" i="91"/>
  <c r="E29" i="91"/>
  <c r="E28" i="91"/>
  <c r="I27" i="91"/>
  <c r="H27" i="91"/>
  <c r="H28" i="91" s="1"/>
  <c r="H29" i="91" s="1"/>
  <c r="E27" i="91"/>
  <c r="H27" i="90"/>
  <c r="H28" i="90" s="1"/>
  <c r="H29" i="90"/>
  <c r="H30" i="90"/>
  <c r="H31" i="90"/>
  <c r="H32" i="90"/>
  <c r="H33" i="90"/>
  <c r="H34" i="90"/>
  <c r="H35" i="90"/>
  <c r="H36" i="90"/>
  <c r="H37" i="90"/>
  <c r="H38" i="90"/>
  <c r="E38" i="90"/>
  <c r="E37" i="90"/>
  <c r="E36" i="90"/>
  <c r="E35" i="90"/>
  <c r="E34" i="90"/>
  <c r="E33" i="90"/>
  <c r="E32" i="90"/>
  <c r="E31" i="90"/>
  <c r="E30" i="90"/>
  <c r="E29" i="90"/>
  <c r="E28" i="90"/>
  <c r="G27" i="90"/>
  <c r="I27" i="90" s="1"/>
  <c r="F27" i="90"/>
  <c r="E27" i="90"/>
  <c r="H30" i="93"/>
  <c r="H31" i="93"/>
  <c r="H32" i="93"/>
  <c r="H33" i="93"/>
  <c r="H34" i="93"/>
  <c r="H35" i="93"/>
  <c r="H36" i="93"/>
  <c r="H37" i="93"/>
  <c r="H38" i="93"/>
  <c r="E38" i="93"/>
  <c r="E37" i="93"/>
  <c r="E36" i="93"/>
  <c r="E35" i="93"/>
  <c r="E34" i="93"/>
  <c r="E33" i="93"/>
  <c r="E32" i="93"/>
  <c r="E31" i="93"/>
  <c r="E30" i="93"/>
  <c r="E29" i="93"/>
  <c r="E28" i="93"/>
  <c r="H27" i="93"/>
  <c r="H28" i="93" s="1"/>
  <c r="H29" i="93" s="1"/>
  <c r="F27" i="93"/>
  <c r="H29" i="87"/>
  <c r="H30" i="87"/>
  <c r="H31" i="87"/>
  <c r="H32" i="87"/>
  <c r="H33" i="87"/>
  <c r="H34" i="87"/>
  <c r="H35" i="87"/>
  <c r="H36" i="87"/>
  <c r="H37" i="87"/>
  <c r="H38" i="87"/>
  <c r="E38" i="87"/>
  <c r="E37" i="87"/>
  <c r="E36" i="87"/>
  <c r="E35" i="87"/>
  <c r="E34" i="87"/>
  <c r="E33" i="87"/>
  <c r="E32" i="87"/>
  <c r="E31" i="87"/>
  <c r="E30" i="87"/>
  <c r="E29" i="87"/>
  <c r="E28" i="87"/>
  <c r="G27" i="87"/>
  <c r="I27" i="87" s="1"/>
  <c r="H27" i="87"/>
  <c r="H28" i="87" s="1"/>
  <c r="F27" i="87"/>
  <c r="E27" i="87"/>
  <c r="H30" i="80"/>
  <c r="H31" i="80"/>
  <c r="H32" i="80"/>
  <c r="H33" i="80"/>
  <c r="H34" i="80"/>
  <c r="H35" i="80"/>
  <c r="H36" i="80"/>
  <c r="H37" i="80"/>
  <c r="H38" i="80"/>
  <c r="E38" i="80"/>
  <c r="E37" i="80"/>
  <c r="E36" i="80"/>
  <c r="E35" i="80"/>
  <c r="E34" i="80"/>
  <c r="E33" i="80"/>
  <c r="E32" i="80"/>
  <c r="E31" i="80"/>
  <c r="E30" i="80"/>
  <c r="E29" i="80"/>
  <c r="E28" i="80"/>
  <c r="G27" i="80"/>
  <c r="I27" i="80" s="1"/>
  <c r="H27" i="80"/>
  <c r="H28" i="80" s="1"/>
  <c r="H29" i="80" s="1"/>
  <c r="F27" i="80"/>
  <c r="E27" i="80"/>
  <c r="C29" i="80"/>
  <c r="C28" i="87"/>
  <c r="C29" i="87"/>
  <c r="C30" i="87"/>
  <c r="C31" i="87"/>
  <c r="C32" i="87"/>
  <c r="C33" i="87"/>
  <c r="C34" i="87"/>
  <c r="C35" i="87"/>
  <c r="C36" i="87"/>
  <c r="C37" i="87"/>
  <c r="C38" i="87"/>
  <c r="C27" i="87"/>
  <c r="C38" i="80"/>
  <c r="C37" i="80"/>
  <c r="C36" i="80"/>
  <c r="C35" i="80"/>
  <c r="C34" i="80"/>
  <c r="C33" i="80"/>
  <c r="C32" i="80"/>
  <c r="C31" i="80"/>
  <c r="C30" i="80"/>
  <c r="C28" i="80"/>
  <c r="C27" i="80"/>
  <c r="C38" i="92"/>
  <c r="C37" i="92"/>
  <c r="C36" i="92"/>
  <c r="C35" i="92"/>
  <c r="C34" i="92"/>
  <c r="C33" i="92"/>
  <c r="C32" i="92"/>
  <c r="C31" i="92"/>
  <c r="C30" i="92"/>
  <c r="C29" i="92"/>
  <c r="C28" i="92"/>
  <c r="C27" i="92"/>
  <c r="F20" i="92"/>
  <c r="F19" i="92"/>
  <c r="C11" i="92"/>
  <c r="F20" i="91"/>
  <c r="F19" i="91"/>
  <c r="C11" i="91"/>
  <c r="C11" i="90"/>
  <c r="F6" i="87"/>
  <c r="F6" i="80"/>
  <c r="I18" i="63"/>
  <c r="G18" i="63"/>
  <c r="D18" i="63"/>
  <c r="C8" i="63"/>
  <c r="C7" i="63"/>
  <c r="C6" i="63"/>
  <c r="D30" i="62"/>
  <c r="D31" i="62"/>
  <c r="H31" i="62"/>
  <c r="O13" i="5"/>
  <c r="AA13" i="5"/>
  <c r="AB13" i="5"/>
  <c r="K27" i="66"/>
  <c r="L25" i="66"/>
  <c r="L21" i="66"/>
  <c r="L27" i="66"/>
  <c r="M27" i="66"/>
  <c r="L17" i="66"/>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AB15" i="5"/>
  <c r="V15" i="5"/>
  <c r="J13" i="5"/>
  <c r="I13" i="5"/>
  <c r="J15" i="5"/>
  <c r="I30" i="62"/>
  <c r="D32" i="62"/>
  <c r="I31" i="62"/>
  <c r="AC19" i="5"/>
  <c r="F32" i="47"/>
  <c r="I32" i="62"/>
  <c r="D33" i="62"/>
  <c r="D34" i="62"/>
  <c r="I15" i="5"/>
  <c r="AC15" i="5"/>
  <c r="AA15" i="5"/>
  <c r="AC17" i="5"/>
  <c r="F31" i="62"/>
  <c r="F32" i="62"/>
  <c r="H30" i="62"/>
  <c r="I33" i="62"/>
  <c r="F33" i="47"/>
  <c r="F34" i="47"/>
  <c r="F35" i="47"/>
  <c r="F36" i="47"/>
  <c r="F37" i="47"/>
  <c r="F38" i="47"/>
  <c r="F39" i="47"/>
  <c r="F40" i="47"/>
  <c r="F41" i="47"/>
  <c r="F33" i="62"/>
  <c r="H32" i="62"/>
  <c r="D35" i="62"/>
  <c r="I34" i="62"/>
  <c r="AC13" i="5"/>
  <c r="H30" i="47"/>
  <c r="D31" i="47"/>
  <c r="D32" i="47"/>
  <c r="H31" i="47"/>
  <c r="I31" i="47"/>
  <c r="I35" i="62"/>
  <c r="D36" i="62"/>
  <c r="F34" i="62"/>
  <c r="H33" i="62"/>
  <c r="F35" i="62"/>
  <c r="H34" i="62"/>
  <c r="I36" i="62"/>
  <c r="D37" i="62"/>
  <c r="D33" i="47"/>
  <c r="I32" i="47"/>
  <c r="H32" i="47"/>
  <c r="I37" i="62"/>
  <c r="D38" i="62"/>
  <c r="I33" i="47"/>
  <c r="H33" i="47"/>
  <c r="D34" i="47"/>
  <c r="F36" i="62"/>
  <c r="H35" i="62"/>
  <c r="H34" i="47"/>
  <c r="I34" i="47"/>
  <c r="D35" i="47"/>
  <c r="F37" i="62"/>
  <c r="H36" i="62"/>
  <c r="D39" i="62"/>
  <c r="I38" i="62"/>
  <c r="F38" i="62"/>
  <c r="H37" i="62"/>
  <c r="D36" i="47"/>
  <c r="H35" i="47"/>
  <c r="I35" i="47"/>
  <c r="D40" i="62"/>
  <c r="I39" i="62"/>
  <c r="D37" i="47"/>
  <c r="H36" i="47"/>
  <c r="I36" i="47"/>
  <c r="I40" i="62"/>
  <c r="D41" i="62"/>
  <c r="F39" i="62"/>
  <c r="H38" i="62"/>
  <c r="F40" i="62"/>
  <c r="H39" i="62"/>
  <c r="I41" i="62"/>
  <c r="I37" i="47"/>
  <c r="H37" i="47"/>
  <c r="D38" i="47"/>
  <c r="I38" i="47"/>
  <c r="D39" i="47"/>
  <c r="H38" i="47"/>
  <c r="F41" i="62"/>
  <c r="H41" i="62"/>
  <c r="H40" i="62"/>
  <c r="D40" i="47"/>
  <c r="H39" i="47"/>
  <c r="I39" i="47"/>
  <c r="I40" i="47"/>
  <c r="H40" i="47"/>
  <c r="D41" i="47"/>
  <c r="I41" i="47"/>
  <c r="H41" i="47"/>
  <c r="G27" i="95" l="1"/>
  <c r="I27" i="95" s="1"/>
  <c r="H27" i="95"/>
  <c r="H28" i="95" s="1"/>
  <c r="E27" i="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CC8AC355-D12F-41B0-9D6E-A70BF3459ADA}">
      <text>
        <r>
          <rPr>
            <sz val="9"/>
            <color indexed="81"/>
            <rFont val="Tahoma"/>
            <family val="2"/>
          </rPr>
          <t xml:space="preserve">El código SEGPLAN: corresponde al número asignado para la meta en el  SEGPLAN.
</t>
        </r>
      </text>
    </comment>
    <comment ref="D6" authorId="0" shapeId="0" xr:uid="{3B509DB6-5257-4929-ADA4-13A2A67B0479}">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4E20D86-8C57-4F1B-B31A-91274AF95F9B}">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971A2665-CEAD-4058-AE3F-8FFF0913BA6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9931011-4A6E-44A3-9025-280F0145392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DC40B7A-777C-44E2-B02D-4B27C1A1B9C5}">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87282C8-0651-489E-A843-A78E2C38BB09}">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F5A99C89-AF35-4540-A01E-9450AE29143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D471F89-15E1-453C-A89B-1A966B39871D}">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8B57FA3-39A0-416B-BA11-F00BB7F323EA}">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6696135F-A4CB-4B97-9CD0-2D68D9B18A8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9C8EE22-CDA3-4480-A384-C957A5DD88DD}">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BF17E78-C8F1-49C3-9AE5-8672B3335A8B}">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1471D397-152E-46A7-A0E8-D64B4F8A117B}">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CBD644B1-BEDC-4D39-BE90-C2014B9B2384}">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DCB51D9-1824-403F-9F35-84D10984D41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0C74951-45A1-4480-8B9D-3537C9E9523F}">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83B98BAA-02E6-4D77-8189-26B971A32E93}">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4F6FA629-EA7B-4A87-AD1B-54F78E7B4B6B}">
      <text>
        <r>
          <rPr>
            <b/>
            <sz val="9"/>
            <color indexed="81"/>
            <rFont val="Tahoma"/>
            <family val="2"/>
          </rPr>
          <t xml:space="preserve">Nombre:
</t>
        </r>
        <r>
          <rPr>
            <sz val="9"/>
            <color indexed="81"/>
            <rFont val="Tahoma"/>
            <family val="2"/>
          </rPr>
          <t xml:space="preserve">Elemento que compone el indicador.
</t>
        </r>
      </text>
    </comment>
    <comment ref="B20" authorId="0" shapeId="0" xr:uid="{821716BB-75C8-43E0-994E-3A31621720C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11B58DD0-1450-4180-9340-22DB372C1981}">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C6350D3D-FD44-45F5-9E99-082425D9162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4341E9E4-5B48-4ABD-895D-2B32D74E33F1}">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C5227BD-2EAA-42AF-B75E-9E4772F0A91F}">
      <text>
        <r>
          <rPr>
            <b/>
            <sz val="9"/>
            <color indexed="81"/>
            <rFont val="Tahoma"/>
            <family val="2"/>
          </rPr>
          <t>Acumulado cuatrienio:</t>
        </r>
        <r>
          <rPr>
            <sz val="9"/>
            <color indexed="81"/>
            <rFont val="Tahoma"/>
            <family val="2"/>
          </rPr>
          <t>Hace referencia al valor acumulado durante el cuatrienio</t>
        </r>
      </text>
    </comment>
    <comment ref="B23" authorId="0" shapeId="0" xr:uid="{DF578842-1934-438B-BE81-9D41619AF1E5}">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F34A6FF1-B7A6-4BA6-A1DA-8FBEC59C49B6}">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633A0D9F-6367-4C05-A9E0-B23A597AC4E4}">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62ABB8D-677B-4E42-BA72-1A356D5C49A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4C9A0D9D-BFAD-4A7E-83CC-5E0BF86F6249}">
      <text>
        <r>
          <rPr>
            <sz val="9"/>
            <color indexed="81"/>
            <rFont val="Tahoma"/>
            <family val="2"/>
          </rPr>
          <t xml:space="preserve">El código SEGPLAN: corresponde al número asignado para la meta en el  SEGPLAN.
</t>
        </r>
      </text>
    </comment>
    <comment ref="D6" authorId="0" shapeId="0" xr:uid="{F6C429E0-2B88-41A2-978D-790EF09BF2AC}">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F1092CD-F342-419B-B034-69596D931B7E}">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201D0317-D046-4AFF-84DA-186B897972F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29B4E49D-BC38-44A7-89B0-0F80527B2D74}">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6551A75A-A2EC-4A80-9C90-261D3E295D12}">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CDD6FE07-3216-4C06-B0D0-2260EDF869B6}">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37497D63-17E8-46B0-ABAB-844E6C1BFBB5}">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7666281-BD2D-4F0A-82C7-D29986934F29}">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788360A-E7C5-464C-99F4-D0B9B1C979D6}">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CA01DDF-5CBB-418F-A362-0FFC8FAD0A3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CEB78E47-364A-44EC-A36F-200D6D228299}">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E8D37C71-7F19-4807-ACC9-6BDB3753CD35}">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865EEA0-FD55-4529-8027-DAC4645CFD0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A3753825-6895-473E-A5F7-6AF0E19C0A3B}">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C2A367D-A604-42BA-B9E7-0780531EA245}">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5A3DD618-BA9D-4627-B817-DDD41DBC3A9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0AB4A28-F28B-4AD4-8A01-1F17E3BDECEA}">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280CDA9D-D6AF-4668-9F9E-28727CFC6426}">
      <text>
        <r>
          <rPr>
            <b/>
            <sz val="9"/>
            <color indexed="81"/>
            <rFont val="Tahoma"/>
            <family val="2"/>
          </rPr>
          <t xml:space="preserve">Nombre:
</t>
        </r>
        <r>
          <rPr>
            <sz val="9"/>
            <color indexed="81"/>
            <rFont val="Tahoma"/>
            <family val="2"/>
          </rPr>
          <t xml:space="preserve">Elemento que compone el indicador.
</t>
        </r>
      </text>
    </comment>
    <comment ref="B20" authorId="0" shapeId="0" xr:uid="{EB6025DD-282E-4320-AF94-44309F23FD4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35FCBA05-230F-4429-8743-45A1F6E15DDF}">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A53F421F-35CD-456A-8E7F-B02088F2DD2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B034161-294E-449F-915C-075C9DC6B63A}">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D81D7-04A6-4E1F-88EF-97BB063F013B}">
      <text>
        <r>
          <rPr>
            <b/>
            <sz val="9"/>
            <color indexed="81"/>
            <rFont val="Tahoma"/>
            <family val="2"/>
          </rPr>
          <t>Acumulado cuatrienio:</t>
        </r>
        <r>
          <rPr>
            <sz val="9"/>
            <color indexed="81"/>
            <rFont val="Tahoma"/>
            <family val="2"/>
          </rPr>
          <t>Hace referencia al valor acumulado durante el cuatrienio</t>
        </r>
      </text>
    </comment>
    <comment ref="B23" authorId="0" shapeId="0" xr:uid="{42218D98-2B9D-4994-B483-740E2F2F8C5B}">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8F2179F0-7CEA-4662-9FFB-85832A1B7F51}">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C24C58C6-5BDB-4C75-9AE5-9309AFBCBA8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8EA59F8-6EEC-4A28-855D-341A5A8FB1F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<sst xmlns="http://schemas.openxmlformats.org/spreadsheetml/2006/main" count="1256" uniqueCount="402">
  <si>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</si>
  <si>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</si>
  <si>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</si>
  <si>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</si>
  <si>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</si>
  <si>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</si>
  <si>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</si>
  <si>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</si>
  <si>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</si>
  <si>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</si>
  <si>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</si>
  <si>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</si>
  <si>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</si>
  <si>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</si>
  <si>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</si>
  <si>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</si>
  <si>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</si>
  <si>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</si>
  <si>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</si>
  <si>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</si>
  <si>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</si>
  <si>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</si>
  <si>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</si>
  <si>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</si>
  <si>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</si>
  <si>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</si>
  <si>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</si>
  <si>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</si>
  <si>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</si>
  <si>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</si>
  <si>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</si>
  <si>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</si>
  <si>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</si>
  <si>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</si>
  <si>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</si>
  <si>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</si>
  <si>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</si>
  <si>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</si>
  <si>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</si>
  <si>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</si>
  <si>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</si>
  <si>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</si>
  <si>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</si>
  <si>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</si>
  <si>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</si>
  <si>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</si>
  <si>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</si>
  <si>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</si>
  <si>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</si>
  <si>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</si>
  <si>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</si>
  <si>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</si>
  <si>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</si>
  <si>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</si>
  <si>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</si>
  <si>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</si>
  <si>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</si>
  <si>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</si>
  <si>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</si>
  <si>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</si>
  <si>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</si>
  <si>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</si>
  <si>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</si>
  <si>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</si>
  <si>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</si>
  <si>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</si>
  <si>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</si>
  <si>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</si>
  <si>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</si>
  <si>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</si>
  <si>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</si>
  <si>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</si>
  <si>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</si>
  <si>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</si>
  <si>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</si>
  <si>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</si>
  <si>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</si>
  <si>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</si>
  <si>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</si>
  <si>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</si>
  <si>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</si>
  <si>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</si>
  <si>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</si>
  <si>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</si>
  <si>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</si>
  <si>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</si>
  <si>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</si>
  <si>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</si>
  <si>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</si>
  <si>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</si>
  <si>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</si>
  <si>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</si>
  <si>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</si>
  <si>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</si>
  <si>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</si>
  <si>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</si>
  <si>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</si>
  <si>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</si>
  <si>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</si>
  <si>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</si>
  <si>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</si>
  <si>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</si>
  <si>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</si>
  <si>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</si>
  <si>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</si>
  <si>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</si>
  <si>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</si>
  <si>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</si>
  <si>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</si>
  <si>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</si>
  <si>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</si>
  <si>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</si>
  <si>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</si>
  <si>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</si>
  <si>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</si>
  <si>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</si>
  <si>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</si>
  <si>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</si>
  <si>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</si>
  <si>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</si>
  <si>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</si>
  <si>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</si>
  <si>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</si>
  <si>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</si>
  <si>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</si>
  <si>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</si>
  <si>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</si>
  <si>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</si>
  <si>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</si>
  <si>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</si>
  <si>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</si>
  <si>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</si>
  <si>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</si>
  <si>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</si>
  <si>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</si>
  <si>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</si>
  <si>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</si>
  <si>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</si>
  <si>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</si>
  <si>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</si>
  <si>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</si>
  <si>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</si>
  <si>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</si>
  <si>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</si>
  <si>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</si>
  <si>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</si>
  <si>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</si>
  <si>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</si>
  <si>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</si>
  <si>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</si>
  <si>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</si>
  <si>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</si>
  <si>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</si>
  <si>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</si>
  <si>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</si>
  <si>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</si>
  <si>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</si>
  <si>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</si>
  <si>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</si>
  <si>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</si>
  <si>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</si>
  <si>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</si>
  <si>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</si>
  <si>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</si>
  <si>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</si>
  <si>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</si>
  <si>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</si>
  <si>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</si>
  <si>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</si>
  <si>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</si>
  <si>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</si>
  <si>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</si>
  <si>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</si>
  <si>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</si>
  <si>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</si>
  <si>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</si>
  <si>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</si>
  <si>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</si>
  <si>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</si>
  <si>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</si>
  <si>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</si>
  <si>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</si>
  <si>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</si>
  <si>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</si>
  <si>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</si>
  <si>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</si>
  <si>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</si>
  <si>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</si>
  <si>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</si>
  <si>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</si>
  <si>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</si>
  <si>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</si>
  <si>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</si>
  <si>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</si>
  <si>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</si>
  <si>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</si>
  <si>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</si>
  <si>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</si>
  <si>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</si>
  <si>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</si>
  <si>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</si>
  <si>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</si>
  <si>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</si>
  <si>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</si>
  <si>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</si>
  <si>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</si>
  <si>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</si>
  <si>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</si>
  <si>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</si>
  <si>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</si>
  <si>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</si>
  <si>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</si>
  <si>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</si>
  <si>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</si>
  <si>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</si>
  <si>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</si>
  <si>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</si>
  <si>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</si>
  <si>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</si>
  <si>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</si>
  <si>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</si>
  <si>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</si>
  <si>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</si>
  <si>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</si>
  <si>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</si>
  <si>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</si>
  <si>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</si>
  <si>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</si>
  <si>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</si>
  <si>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</si>
  <si>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</si>
  <si>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</si>
  <si>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</si>
  <si>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</si>
  <si>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</si>
  <si>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</si>
  <si>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</si>
  <si>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</si>
  <si>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</si>
  <si>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</si>
  <si>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</si>
  <si>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</si>
  <si>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</si>
  <si>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</si>
  <si>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</si>
  <si>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</si>
  <si>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</si>
  <si>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</si>
  <si>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</si>
  <si>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</si>
  <si>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</si>
  <si>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</si>
  <si>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</si>
  <si>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</si>
  <si>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</si>
  <si>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</si>
  <si>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</si>
  <si>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</si>
  <si>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</si>
  <si>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</si>
  <si>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</si>
  <si>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</si>
  <si>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</si>
  <si>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</si>
  <si>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</si>
  <si>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</si>
  <si>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</si>
  <si>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</si>
  <si>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</si>
  <si>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</si>
  <si>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</si>
  <si>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</si>
  <si>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</si>
  <si>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</si>
  <si>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</si>
  <si>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</si>
  <si>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</si>
  <si>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</si>
  <si>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</si>
  <si>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</si>
  <si>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</si>
  <si>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</si>
  <si>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</si>
  <si>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</si>
  <si>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</si>
  <si>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</si>
  <si>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</si>
  <si>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</si>
  <si>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</si>
  <si>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</si>
  <si>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</si>
  <si>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</si>
  <si>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</si>
  <si>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Plan de Acción</t>
  </si>
  <si>
    <t xml:space="preserve">Articular un plan de seguimiento a la gestión y respuesta oportuna a los requerimientos técnicos, jurídicos, contractuales y disciplinarios </t>
  </si>
  <si>
    <t>PA01; PA02; PA03; PA04; PA05</t>
  </si>
  <si>
    <t>Actividades que se ejecutaron para la implementacion de los procesos transversales</t>
  </si>
  <si>
    <t>Cantidad de actividades que se ejecutaron para la implementacion de los procesos transversales</t>
  </si>
  <si>
    <t>Subdireccion de Gestion Corporativa</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</si>
  <si>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</si>
  <si>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</si>
  <si>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</si>
  <si>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</si>
  <si>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Actividades ejecutadas para el fortalecimiento de los canales de comunicación</t>
  </si>
  <si>
    <t>Actividades programadas para el fortalecimiento de los canales de comunicación</t>
  </si>
  <si>
    <t>Planes Estratégicos Formulados</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</si>
  <si>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</si>
  <si>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</si>
  <si>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</si>
  <si>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</si>
  <si>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</si>
  <si>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</si>
  <si>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</si>
  <si>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</si>
  <si>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</si>
  <si>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t>PLAN DE ACCION</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</si>
  <si>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</si>
  <si>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</si>
  <si>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</si>
  <si>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</si>
  <si>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</si>
  <si>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</si>
  <si>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</si>
  <si>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</si>
  <si>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</si>
  <si>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</si>
  <si>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</si>
  <si>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</si>
  <si>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Medir el porcentaje del implementacion de los procesos transversales del Instituto, tales como financieros, administrativos, entre otros.</t>
  </si>
  <si>
    <t>Enero</t>
  </si>
  <si>
    <t>JIMMY ALEJANDRO ESCOBAR CASTRO</t>
  </si>
  <si>
    <t>SUBDIRECTOR DE GESTION CORPORATIVA</t>
  </si>
  <si>
    <t>Subdirección de Gestión Corporativa</t>
  </si>
  <si>
    <t>Oficina Asesora Juridica  y SGC - Gestión Contractual</t>
  </si>
  <si>
    <t>Acciones de fortalecimiento realizadas</t>
  </si>
  <si>
    <t xml:space="preserve">El cumplimiento de esta meta genera un beneficio a la ciudad en el sentido de la prestación de los servicios ofrecidos a la ciudadania y   poder fortalecer la imagen del Instituto y su articulación con el sector y la comunidad, ademàs   la entidad puede  tener la plena confianza que los procesos  estan siendo sistematizados para  cualquier requerimiento, y se  esta  cumplinedo con los organismos de control.		</t>
  </si>
  <si>
    <t>LUZ JOHANA CASTILLO - CONTRATISTA SGC</t>
  </si>
  <si>
    <t xml:space="preserve">GRUPO DE COMUNICACIONES </t>
  </si>
  <si>
    <t xml:space="preserve">Medir el fortalecimiento de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</si>
  <si>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Actividades ejecutadas para el fortalecimiento de los canales de comunicación / Actividades programadas para el fortalecimiento de los canales de comunicación</t>
  </si>
  <si>
    <t>La Oficina Asesora Jurídica a través de los 3 grupos que la conforman: Grupo de Defensa Judicial, Grupo de Asuntos Normativos, y Grupo de Asuntos Administrativos,  atiende la totalidad delos  requerimientos asignados a la dependencia, por lo que, para cumplir con dicha labor se plantea la programación de 5 actividades en relación a: 
1. La representación judicial, extrajudicial y administrativamente del Instituto en los procesos y actuaciones que se instauren en su contra o aquellos que el Instituto deba promover. 
2. El acompañamiento a las diligencias de entrega de bienes inmuebles oficiadas por los jueces de la república, alcaldes locales e inspectores de policía al Instituto, velando por la protección y el bienestar de los animales hallados en el lugar.
3. La elaborarción el estudio jurídico de acuerdos, decretos, resoluciones, reglamentos y demás actos administrativos requeridos para el cumplimiento de los objetivos del Instituto. 
4. Estudiar los presuntos casos de maltrato animal conocidos por el instituto, dando impulso a los procesos contravencionales y/o penales en cada una de sus etapas procesales.
5. Seguimiento a los requerimientos allegados y atendidos por la OAJ controlando sus términos de emisión.
Desde materia contractual y Disciplinaria, se planteó la programación de  2 actividades  en el aspecto de  contratación estatal  donde  permita evidenciar  el grado de   de  suscripción de contratos   y modificaciones contractuales   mes a mes y  también   el nivel de atención  a las  diferentes solicitudes que  yacen de la contratación estatal  como certificaciones, respuesta a propisiciones; acompañamiento y seguimiento en la formulación, actualización y ejecución entre otras. Para el Aspecto Disciplinario se planteó una actividad  donde  se registar el desarrollo de cada proceso  respetando el debido proceso y la reserva  que conlleva.</t>
  </si>
  <si>
    <t>Cada requerimiento allegado a la Oficina Asesora Juridíca ha sido resuelto dentro de los terminos legales establecidos, dando cumplimiento a nuestras funciones como oficina asesora.
Cada  tarea asignada a  gestión contractual desde las áreas misionales y administrativas del Institudo y  desde  los  ciudadanos u organismos  externos  han sido desarrolladas en los terminos estipulados, con el fin de garantizar el servicio.</t>
  </si>
  <si>
    <t>CHRISTIAN YERED ANGULO - CONTRATISTA</t>
  </si>
  <si>
    <t>Oficina Asesora Juridica</t>
  </si>
  <si>
    <t>Vanessa Páez - Profesional Universitaria Jurídica</t>
  </si>
  <si>
    <t>Yuly Patricia Castro Beltrán - Jefe Oficina Asesora Jurídica</t>
  </si>
  <si>
    <t>1 de enero de 2021</t>
  </si>
  <si>
    <t>Articular una (1)  batería de herramientas de planeación para el instituto distrital de protección y bienestar animal</t>
  </si>
  <si>
    <t>Oficina Asesora de Planeación</t>
  </si>
  <si>
    <t>PE01</t>
  </si>
  <si>
    <t>Instrumentos De Gestión Y Control Optimizados</t>
  </si>
  <si>
    <t>ENERO 2021</t>
  </si>
  <si>
    <t>Articular herramientas de planeación para el instituto distrital de protección y bienestar animal</t>
  </si>
  <si>
    <t>Plan de acción</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</si>
  <si>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</si>
  <si>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</si>
  <si>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</si>
  <si>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</si>
  <si>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</si>
  <si>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 Avance de meta acumulado</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</si>
  <si>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</si>
  <si>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Henry Rincón - Eric Restrepo - Leidy Rodriguez - Nancy Montero - Andrés Guerrero</t>
  </si>
  <si>
    <t>Jefe Oficina Asesora de Planeación</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</si>
  <si>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</si>
  <si>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</si>
  <si>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</si>
  <si>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</si>
  <si>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</si>
  <si>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</si>
  <si>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</si>
  <si>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Equipo MIPG-Oficina Asesora de Planeación</t>
  </si>
  <si>
    <t>Dentro de las acciones que desarrolla la Oficina Asesora Jurídica se está cumpliendo con el objeto, funciones y misionalidad establecidas en las disposiciones que rigen la entidad, dirigidas al bienestar y protección de la fauna silvestre y doméstica que habita en el Distrito Capital.  Del mismo modo, se garantiza  que  Bogotá  tiene  servicios integrales para la atención animal y que cuenta  con una entidad que promueve  la transparencia en todos los procesos de contratación.</t>
  </si>
  <si>
    <t>Afianzar la estructura organizacional productiva e integra, a través del desarrollo de capacidades del talento humano y un ambiente cordial</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</si>
  <si>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</si>
  <si>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</si>
  <si>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 xml:space="preserve">
Afianzar la estructura organizacional productiva e integra, a través del desarrollo de capacidades del talento humano y un ambiente cordial</t>
  </si>
  <si>
    <t>Desarrollar herramientas técnicas, dinámicas y confiables, a través del manejo y gestión de conocimiento. 
Garantizar accesibilidad a la información institucional a los grupos de valor, a través de los mecanismos y canales que disponga el Instituto</t>
  </si>
  <si>
    <t>Garantizar accesibilidad a la información institucional a los grupos de valor, a través de los mecanismos y canales que disponga el Instituto</t>
  </si>
  <si>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</si>
  <si>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 xml:space="preserve">*La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
</t>
  </si>
  <si>
    <t xml:space="preserve">
Desde la Oficina Asesora Jurídica  no se presentó ningún retraso para el cumplimiento de la meta, por consiguiente, no se plantearon soluciones a los mismos; desde la  SGC - contractual en el mes de Febrero se consolido el grupo de Gestion Contractual, para tramites de los nuevos procesos de la Gestion que a fin de mes llego a un ritmo adecuado de trabajo</t>
  </si>
  <si>
    <t>Fredy Ariza, Ivan Malaver, Mauricio Lopez, Liz Tabares, Manuel Rentería, Natalina Roncancio</t>
  </si>
  <si>
    <t xml:space="preserve">AVANCES : Desde la Subdirección de Gestión Corporativa se realizaron las actividades relacionadas  con la FASE 3 del proyecto de rediseño institucional, se realizo propuesta de modelos de operación teniendo en cuenta los productos y servicios presentados en la actualidad por la entidad y con los cambios realizados en el equipo directivo esta pendiente la revisión de los productos elaborados durante el primer trimestre. 
LOGROS: Se realizo la propuesta de un modelo de operación integral incluyendo la cadena de valor con las entidades del sector y la secretaria de gobierno con los enlaces BYPA locales. </t>
  </si>
  <si>
    <t xml:space="preserve">Los retrasos que se pudieron haber presentado se relacionan con el cambio del equipo Directivo en primer lugar la Subdirección de Faunay a finales del trimestre la Subdirección Corporativa quien actualmente lidera el proyecto de rediseño  lo cual impide  avanzar hasta que no se aprueben las propuestas por parte del Consejo Directivo. </t>
  </si>
  <si>
    <t xml:space="preserve">En el mes de marzo de 2021 se realizó los reportes en PMR, SPI, POA y Hojas de vida de indicadores, se acompañó a las Subdirecciones tecnicas en las modificacion del Plan de Adquisiciones que requerían traslados presupuestales entre metas de los proyectos. Se realizó acompañamiento al proceso de formulación de la Política Pública de Habitabilidad en Calle. Se acompañaron mesas técnicas de revisión de las fichas de productos que deben ajustarse en el Plan de Acción de la Pyba en el tema de Fauna Silvestre y Casa Ecológica
</t>
  </si>
  <si>
    <t>En el mes de marzo de 2021 se realizó los reportes en PMR, SPI, POA y Hojas de vida de indicadores.
Se acompaño a las Subdirecciones tecnicas en las modificacion del Plan de Adquisiciones que requerían traslados presupuestales entre metas de los proyectos. 
Se logró la articulacion entre las Sudireccion tecnicas y la Oficina Asesora de Planeación de las herramientas diseñadas para los traslados entre metas y conceptos del gasto que surgen con motivo de las modificaciones al Plan de Adquisiciones.
Se realizó acompañamiento al proceso de formulación de la Política Pública de Habitabilidad en Calle.
Se acompañaron mesas técnicas de revisión de las fichas de productos que deben ajustarse en el Plan de Acción de la Pyba en el tema de Fauna Silvestre y Casa Ecológica</t>
  </si>
  <si>
    <r>
      <rPr>
        <b/>
        <sz val="9"/>
        <rFont val="Arial"/>
        <family val="2"/>
      </rPr>
      <t>GESTIÓN AMBIENTAL:</t>
    </r>
    <r>
      <rPr>
        <sz val="9"/>
        <rFont val="Arial"/>
        <family val="2"/>
      </rPr>
      <t xml:space="preserve"> Se da cumplimiento a la normativa ambiental vigente, se minimiza el impacto ambiental y se optimizan el recursos hídrico fomentando la austeridad del gasto.
</t>
    </r>
    <r>
      <rPr>
        <b/>
        <sz val="9"/>
        <rFont val="Arial"/>
        <family val="2"/>
      </rPr>
      <t xml:space="preserve">GESTIÓN DOCUMENTAL: </t>
    </r>
    <r>
      <rPr>
        <sz val="9"/>
        <rFont val="Arial"/>
        <family val="2"/>
      </rPr>
      <t xml:space="preserve">La gestión documental garantiza para la entidad y para la copmunidad un acceso a la información pública y una conservación historica del conocimiento generado, por medio de La Tabla de Retención Documental , la elaboración de Inventarios documentales, el modelo de requisitos para la gestión de documentos electrónicos de archivo y el software de gestión documental.
</t>
    </r>
    <r>
      <rPr>
        <b/>
        <sz val="9"/>
        <rFont val="Arial"/>
        <family val="2"/>
      </rPr>
      <t xml:space="preserve">RECURSOS FISICOS: </t>
    </r>
    <r>
      <rPr>
        <sz val="9"/>
        <rFont val="Arial"/>
        <family val="2"/>
      </rPr>
      <t>Con la gestios del equipo de recursos fisicos se garantiza la correcta prestacion de todos los servicios para el normal funcionamiento del Instituto.
Se mantiene actualizado el inventario, de esta manera  se da transparencia a la gestion del almacen.</t>
    </r>
  </si>
  <si>
    <t xml:space="preserve">La meta  al ser  por demanda permite evidenciar  que la Oficina Asesora Juridica se encuentra  inmersa en la dinámica de responder al volumnen que  va recibiendo los requerimientos, ya que su misionalidad  radica en el apoyo  trasversal a nivel administrativo  de la entidad, por ello en el mes de enero se  evidencia  que cada  requerimiento fue  gestionado conforme; 1.  al procedimiento del área. 2.en el marco de la normatividad vigente y  3. atendido de manera oportuna  para no entorpercer  la funcionalidad del Insttuto.						</t>
  </si>
  <si>
    <t>NA</t>
  </si>
  <si>
    <t>Ximena Andrea Castro Pinto</t>
  </si>
  <si>
    <t>los restrasos presentandos en la validacion de algunos sistemas de informacion de debio a nuestro aliado de prestacion de servicios etb quin nos demoro los accesos a los servidores durante dos semanas lo que ocasiono estas demoras en la verificacion de sipyba y demas sistemas de información.</t>
  </si>
  <si>
    <t xml:space="preserve">Los posibles beneficios que se pueden optener luego de estos avances e lograr que comunidad tenga mejores canales de comunición e información real de los que hace la entidad. </t>
  </si>
  <si>
    <t xml:space="preserve">Aunque se cumplieron todas las acciones propias de la misionalidad del equipo de comunicaciones, las demoras en el proceso de contratación implicaron una sobrecarga laboral para las únicas dos personas que se encontraban vinculadas. Aún faltan dos cargos por contratar: Técnico administrativo (planta) y comunity manager, para quien ya se ha iniciado el proceso contractual. Se sugiere revisar y mejorar la planeación de los procesos de contratación por parte de las dependencias responsables, para lograr que estos se surtan con mayor anticipación y mediante un procedimiento que facilite dicha gestión evitando la carencia de personal para cumplir con las labores correspondientes según el rol, funciones y responsabilidades.  </t>
  </si>
  <si>
    <t>CLAUDIA LILIANA CIFUENTES - CATALINA CRUZ</t>
  </si>
  <si>
    <t xml:space="preserve">Gracias a la gestión realizada por la oficina de comunicaciones se la logrado una divulgación externa de tipo permannete sobre la misionalidad del Instituto, como de los avances y acciones realizadas para la protección y el bienestar de los animales, con contenidos publicados en los medios de comunicación con que cuenta la entidad, específicamente en redes sociales facebook, twitter e instagram, como en página web, además de gestiones free press con medios de comunicación masiva. También se garantiza divulgación de diversos temas de interés dirigidos de manera especifica a la comunidad interna, es decir, a los servidores y colaboradoradores del IDPYBA, sobre actividades de capacitación, socialización de información general y de sinergia con Alcaldía Mayor.  La acción comunicativa propende por acercar a la ciudadanía al conocimiento de los planes, proyectos y programas del Instituto de Protección Animal, así como la para contrinuir a la sensibilización y edicación de esta en aspectos relacionados, entre otros temas, con maltrato animal, tenencia responsable, cuidado de la Fauna, canales de denuncia y adopciones.  </t>
  </si>
  <si>
    <r>
      <t>50 Acciones y campañas de comunicación interna y externa (20 de tipo interno y 30 externa)
42 Publicaciones en diversos medios de comunicación
12 Notas y comunicados de prensa redactados                                                                                                                                                                         
17</t>
    </r>
    <r>
      <rPr>
        <sz val="12"/>
        <color rgb="FFFF0000"/>
        <rFont val="Arial"/>
        <family val="2"/>
      </rPr>
      <t xml:space="preserve"> </t>
    </r>
    <r>
      <rPr>
        <sz val="12"/>
        <color theme="1"/>
        <rFont val="Arial"/>
        <family val="2"/>
      </rPr>
      <t>Cubrimientos de actividades del IDPYBA
171 piezas gráficas diseñadas 
22 videos producidos y editados
PUBLICACIONES EN REDES: Facebook: 123, Twitter: 337, Instagram</t>
    </r>
    <r>
      <rPr>
        <sz val="12"/>
        <color rgb="FFFF0000"/>
        <rFont val="Arial"/>
        <family val="2"/>
      </rPr>
      <t xml:space="preserve"> </t>
    </r>
    <r>
      <rPr>
        <sz val="12"/>
        <rFont val="Arial"/>
        <family val="2"/>
      </rPr>
      <t>31</t>
    </r>
    <r>
      <rPr>
        <sz val="12"/>
        <color theme="1"/>
        <rFont val="Arial"/>
        <family val="2"/>
      </rPr>
      <t xml:space="preserve"> Total: 491
ALCANCE EN REDES SOCIALES:Total: 1.978.396
INTERACCION EN REDES SOCIALES:  161.765
RESPUESTAS A MENSAJES EN REDES SOCIALES: 874
Se realiza una divulgación de información de manera permanente para comunicar las acciones adelantadas por las  áreas misionales del IDPYBA a través de diversos productos, contenidos y piezas de comunicación. Se evidencia un crecimiento significativo en las redes sociales, tanto en número de seguidores como en el alcance y la inreacción. </t>
    </r>
  </si>
  <si>
    <r>
      <t>En el mes de enero se realizaron los siguientes avances: Formulación de Plan Anticorrupción y Atención al Ciudadano de la vigencia 2021, Formulación de adminisitracion de Riesgos de Gestión por proceso 2021 y  su respectiva publicación en la pagina web del Instituto, Actas de reunión de mesas de trabajo con los lideres de proceso para elaborar, actualizar y/o eliminar documentos, se actualizó el listado maestro de documentos. No llegaron solicitudes para la publicacion en la plataforma Colibri, se realizan mesas de trabajo para la actualización de la base de datos del  Plan Estadístico Distrital y se realizo seguimiento a las activiades del Plan de Mejoramiento de la Oficina Asesora de Planeación.
En el mes de febrero no se realizó la publicación del consolidado del furag 2020 que se tenia planeado para el mes,  aprobaron 4 Actas de las cuales se elimino la No.9 con un total de 8 documentos adoptados los cuales se encuentran publicados en el Listado Maestro de Documentos, No llegaron solicitudes para la publicacion en la plataforma Colibri,</t>
    </r>
    <r>
      <rPr>
        <sz val="10"/>
        <color rgb="FFFF0000"/>
        <rFont val="Arial"/>
        <family val="2"/>
      </rPr>
      <t xml:space="preserve"> </t>
    </r>
    <r>
      <rPr>
        <sz val="10"/>
        <rFont val="Arial"/>
        <family val="2"/>
      </rPr>
      <t>no se realizaron mesas de trabajo para la actualización de la base de datos del  Plan Estadístico Distrital</t>
    </r>
    <r>
      <rPr>
        <sz val="10"/>
        <color theme="1"/>
        <rFont val="Arial"/>
        <family val="2"/>
      </rPr>
      <t xml:space="preserve"> y no se tenia programada la realizacion de seguimiento a las activiades del Plan de Mejoramiento de la Oficina Asesora de Planeación. Se da cumplimiento a las actividades planeadas para el mes de febrero de 2021 dentro de las cuales se realizó informe FURAG Sector Ambiente que fue enviado al Distrital de Desarrollo Institucional mipgdistrito@alcaldiabogota.gov.co.
En el mes de Marzo se emitieron 3 Actas de Adopcion de documentos (11, 12 y 13) con un total de 6 documentos, se actualiza el Listado maestro de documentos, Se presentan 14 solicitudes de publicacion de compromisos en Colibri en espacios de participacion reglamentada y no reglamentada, Se Diligencia el Formulario FURAG 2020 con los lideres de las areas en compañía de Control Interno.</t>
    </r>
  </si>
  <si>
    <r>
      <t xml:space="preserve">SERVICIO AL CIUDADANO: </t>
    </r>
    <r>
      <rPr>
        <sz val="10"/>
        <color theme="1"/>
        <rFont val="Arial"/>
        <family val="2"/>
      </rPr>
      <t>No se presenta ningún retraso</t>
    </r>
    <r>
      <rPr>
        <b/>
        <sz val="10"/>
        <color theme="1"/>
        <rFont val="Arial"/>
        <family val="2"/>
      </rPr>
      <t xml:space="preserve">
RECURSOS FISICOS: </t>
    </r>
    <r>
      <rPr>
        <sz val="10"/>
        <color theme="1"/>
        <rFont val="Arial"/>
        <family val="2"/>
      </rPr>
      <t xml:space="preserve">Se genero retraso en la ejecucion de la depreciacion, lo anterior debido a errores presntados por el aplicativo Zbox
</t>
    </r>
    <r>
      <rPr>
        <b/>
        <sz val="10"/>
        <color theme="1"/>
        <rFont val="Arial"/>
        <family val="2"/>
      </rPr>
      <t xml:space="preserve">GESTIÓN AMBIENTAL: </t>
    </r>
    <r>
      <rPr>
        <sz val="10"/>
        <color theme="1"/>
        <rFont val="Arial"/>
        <family val="2"/>
      </rPr>
      <t xml:space="preserve">Se logra la entrega del sistema de tratamientos de aguas residuales no domésticas, y el sistema de aprovechamiento de agua lluvia por parte d ellos contratistas en la Unidad de Cuidado Animal, Se ingresa al almacén los elementos que componen el sistema de aguas lluvia y la Planta de tratamiento de Aguas Residuales PTAR, Se realiza la transmisión del balance anual de residuos peligrosos periodo 2020 ante el Kuna Ideam- Secretaria Distrital de Ambiente, Se continua con las inspecciones mensuales, verificando las condiciones sanitarias y locativas de almacenamiento de los residuos, Se realiza el lavado de 4 caniles con el agua lluvia captado, Se continua con la gestión integral de Residuos (biosanitarios, cortopunzantes, animales, medicamentos, residuos administrativos y de medicamentos vencidos, vacíos y parcialmente consumidos) en las sedes del Instituto, Se mejora las condiciones del entorno en la Unidad de Cuidado Animal con actividades de PODA y control de plagas roedores. 
</t>
    </r>
    <r>
      <rPr>
        <b/>
        <sz val="10"/>
        <color theme="1"/>
        <rFont val="Arial"/>
        <family val="2"/>
      </rPr>
      <t xml:space="preserve">			</t>
    </r>
  </si>
  <si>
    <r>
      <rPr>
        <b/>
        <sz val="10"/>
        <color theme="1"/>
        <rFont val="Arial"/>
        <family val="2"/>
      </rPr>
      <t>SERVICIO AL CIUDADANO:</t>
    </r>
    <r>
      <rPr>
        <sz val="10"/>
        <color theme="1"/>
        <rFont val="Arial"/>
        <family val="2"/>
      </rPr>
      <t xml:space="preserve">Durante el mes de marzo, lo ciudadanos respondieron 114 encuestas de satisfacción, en donde se evidencia que el 78% de los ciudadanos se encuentran satisfechos y muy satisfechos con el servicio recibido, el porcentaje de insatisfacción es del 15% y corresponde a los ciudadanos que no han recibido respuestas a sus requerimientos, a pesar de estra en términos de Ley, o  que no estan de acuerdo con las respuestas dadas por el área de Escuadron Anticrueldad (tiempos de visita), y a ciudadanos que manifiestan su inconformidad con las jormadas de esterilización. El 60 de los ciudadanos que han utilizado los ervicios del IDPYBA solo el 60% se encuentra satisfechos.
En el mes de marzo se readicaron un total de 974 derechos de petición a través de los canales de atención al ciudadano habilitados, se evidencia un incrementyo en número de peticiones con respecto a los meses anteriores el cual esta dado por que los ciudadanos estan realizando sus peticiones a tarvés de el canal telefónico. Se cerraon 100 peticiones fuera de terminos y a corte de 31 de marzo había 26 peticiones vencidas sin respuesta, situación que esta dada por la terminación de contratos y cambio de Subdirector de Atención a la Fauna, quienes reciben más del 80% de las peticiones.
</t>
    </r>
    <r>
      <rPr>
        <b/>
        <sz val="10"/>
        <color theme="1"/>
        <rFont val="Arial"/>
        <family val="2"/>
      </rPr>
      <t>RECURSOS FISICOS:</t>
    </r>
    <r>
      <rPr>
        <sz val="10"/>
        <color theme="1"/>
        <rFont val="Arial"/>
        <family val="2"/>
      </rPr>
      <t xml:space="preserve"> 1- Durante el mes de febrero desde almacen se dio respuesta a cada una de las solciitudes de entrega, traslado y/o reintegro de bienes, con el fin de mantener actualizado el inventario, se registra cada moviento en el  aplicativo de inventarios.
2- Se realizo el acompañamiento a los proveedores, con el fin de gestionar los pagos correspondientes, de igual manera se gestiono el pago de servicios publicos de la sede admisnitrativa.
3-Se realizo el acompañamiento a los proveedores con el fin de gestionar los correspondientes pagos y normal ejecucion de los respectivos contratos
se realizo seguimiento al pago de servicios publicos.
4- Se realizo el ramite de pago de la factura de servicios publicos.
5 Se realizo el inventario a los insumos de consumo que se encuentran en la sede adminsitartiva, con el fin de corroborar la informacion contable con las existencias en fisico.
</t>
    </r>
    <r>
      <rPr>
        <b/>
        <sz val="10"/>
        <color theme="1"/>
        <rFont val="Arial"/>
        <family val="2"/>
      </rPr>
      <t>GESTIÓN AMBIENTAL:</t>
    </r>
    <r>
      <rPr>
        <sz val="10"/>
        <color theme="1"/>
        <rFont val="Arial"/>
        <family val="2"/>
      </rPr>
      <t xml:space="preserve"> Se logra la entrega del sistema de tratamientos de aguas residuales no domésticas, y el sistema de aprovechamiento de agua lluvia por parte d ellos contratistas en la Unidad de Cuidado Animal, Se ingresa al almacén los elementos que componen el sistema de aguas lluvia y la Planta de tratamiento de Aguas Residuales PTAR, Se realiza la transmisión del balance anual de residuos peligrosos periodo 2020 ante el Kuna Ideam- Secretaria Distrital de Ambiente, Se continua con las inspecciones mensuales, verificando las condiciones sanitarias y locativas de almacenamiento de los residuos, Se realiza el lavado de 4 caniles con el agua lluvia captado, Se continua con la gestión integral de Residuos (biosanitarios, cortopunzantes, animales, medicamentos, residuos administrativos y de medicamentos vencidos, vacíos y parcialmente consumidos) en las sedes del Instituto, Se mejora las condiciones del entorno en la Unidad de Cuidado Animal con actividades de PODA y control de plagas roedores. 		
GESTIÓN DOCUMENTAL: Este grupo de trabajo, realiza acompañamiento a las demás dependencias en la realización de sus inventarios documentales.				</t>
    </r>
  </si>
  <si>
    <t>AVANCES OAJ: La Oficina Asesora Jurídica a través de los 4 grupos que la conforman: Grupo de Defensa Judicial, Grupo de Asuntos Normativos, Grupo de Asuntos Penales y Grupo de Asuntos Administrativos, atendio la totalidad de los 81 requerimientos asignados en el mes de marzo de 2021.  • Se contestaron dentro de la oportunidad legal todas las acciones de tutela presentadas durante este período.  Todos los requerimientos judiciales fueron atendidos dentro de los términos legales.
• Se adelantaron todas las actividades tendientes a dar cumplimiento al fallo de la Acción Popular No 2017-00162.
•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LOGROS OAJ: • El logro más importante durante este período consiste en que no se fallaron en contra del Instituto ninguna de las tutelas presentadas ante las autoridades judiciales, por el contrario, fueron falladas a favor y en ninguna se comprometió la responsabilidad de la entidad, ello significa un éxito procesal en el 100% de las acciones de tutela del período.
• Respuestas a derechos de petición y requerimientos dentro de los términos legales. 
 •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La Oficina contractual recepciona diversos requerimientos provenientes de la ciudadanía y de entes de Control. Para el mes de Marzo se dio tramite a:
- Certificacion de Contratos requeridos: 82 Certificaciones
-  Derechos de Petición, y Requerimientos : 13 Respuestas en total.
Se realizo la presentacion de Informes a entes de Control que se requieren mensualmente como los son: SIVICOF y SIDEAP, Contraloria CHIP - en los tiempos estipulados.
Cada contrato se encuentra relacionado en la base  de datos  indicando  objeto, contratista, número de compromiso, fecha de suscripción  entro otros, todo  esto  conforme a lo publicado en SECOP II   lo cual se  puede evidenciar  con la nomenclatura  reportada  en la base y  en SECOP II  también encontrarán la solicitudes allegadas para la realización de cada contrato. En la plataforma SECOP II  en el apartado de cada contrato modificación contractual podran encontrar la adición con su respectiva solicitud y  para el caso de las terminaciones anticipadas en el apartado ejecución del contrato  en cada minuta de terminación se referencia el radicado de solicitud de esta novedad contractual.
Durante este mes de marzo se proyectaron 3 Autos inhibitorio 006-2021, 008- 2021, 009-2021 y 1 Auto Apertura de Indagacion Preliminar 007-2021 - Durante este mes de marzo se proyectaron 4 Respuestas a peticiones hechas por anonimos. Durante este mes de marzo se actualizo incorporando las carpetas de expedientes activos y 3 nuevos inhibatorios y la indagacion preliminar 005 y 007 de 2021 al archivo fisico. Se actualizo la base de procesos disciplinarios interna, para anotar los activos y demas actuaciones surtidas este mes de marzo de 2021.
Estos gozan de reserva en las acciones disciplinarias que se adelantan, estos expedientes reposan fisicamente en custodia en la Subdireccion de Gestion Corporativa, grupo disciplinario debidamente encarpetado, foliado en fisico y bajo custodia, segun Ley 734 de 202 Codigo Unico disciplinario Articulo 95.</t>
  </si>
  <si>
    <t>En relación a las acciones al PETI, se han venido adelantando mesas de trabajo con el area juridica y comunicaciones con el fin de establer una estrategia de atención juridica enfocada a la virtualidad con el apoyo de convenios universitarios mas esecificamente aconsultorio juridico virtual, se tiene proyectado presentar el voceto para para segunda semana del mes de marzo de 2021.
en realcion a los proyectos presentados en el PETI se tiene la entrega del proceso de seguridad, backups y fase uno de ipv6, ademas de validar los sistemas de información actuales,</t>
  </si>
  <si>
    <t>En el mes de enero se realizaron las siguientes actividades: 
* Formulación de Plan Anticorrupción y Atención al Ciudadano de la vigencia 2021 y Publicacion en la pagina web
* Formulación de mapas de Riesgos de Gestión por proceso 2021 y publicacioón en la pagina web  
* Publicación del seguimiento cuatrimestral en la pagina web del Instituto de riesgos de gestion por procesos y Plan Anticorrupcion y de atencion al ciudadano del 2020
* Actas de reunión de mesas de trabajo con los lideres de proceso para elaborar, actualizar y/o eiminar documentos
* Se actualizó el listado maestro de documentos. 
En el mes de Febrero se realizaron las siguientes actividades:
* Actas de reunión de mesas de trabajo con los lideres de proceso para elaborar, actualizar y/o eiminar documentos
* Se actualizó el listado maestro de documentos.
* Informe FURAG Sector Ambiente que fue enviado al Distrital de Desarrollo Institucional mipgdistrito@alcaldiabogota.gov.co.
En el mes de Marzo se cosidera como aspecto positivo la cultura de reporte de compromisos en espacios de participacion reglamentada y no reglamentada por parte del area de participación que son publicados en la Plataforma Colibri de Veeduria Distrital. Por otro lado,  la OAP y la Oficina de Control interno para realizar mesas de trabajo y diligenciar el Formulario FURAG 2020 con todos los lideres de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</si>
</sst>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_(* #,##0.0_);_(* \(#,##0.0\);_(* &quot;-&quot;??_);_(@_)"/>
    <numFmt numFmtId="177" formatCode="0.0"/>
    <numFmt numFmtId="178" formatCode="0.000"/>
    <numFmt numFmtId="179" formatCode="_(* #,##0.000_);_(* \(#,##0.000\);_(* &quot;-&quot;??_);_(@_)"/>
    <numFmt numFmtId="180" formatCode="_(* #,##0.0000_);_(* \(#,##0.0000\);_(* &quot;-&quot;??_);_(@_)"/>
    <numFmt numFmtId="181" formatCode="0.00000000"/>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4"/>
      <name val="Arial"/>
      <family val="2"/>
    </font>
    <font>
      <sz val="12"/>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2171">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0" fontId="26" fillId="16" borderId="90" applyNumberFormat="0" applyAlignment="0" applyProtection="0"/>
    <xf numFmtId="43" fontId="33" fillId="0" borderId="0" applyFont="0" applyFill="0" applyBorder="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95"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18" fillId="16" borderId="86"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95"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0" fontId="23" fillId="7" borderId="8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96"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87" applyNumberFormat="0" applyFont="0" applyAlignment="0" applyProtection="0"/>
    <xf numFmtId="0" fontId="4" fillId="23" borderId="96" applyNumberFormat="0" applyFon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26" fillId="16" borderId="88" applyNumberFormat="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0" fontId="31" fillId="0" borderId="89" applyNumberFormat="0" applyFill="0" applyAlignment="0" applyProtection="0"/>
    <xf numFmtId="43" fontId="33" fillId="0" borderId="0" applyFont="0" applyFill="0" applyBorder="0" applyAlignment="0" applyProtection="0"/>
    <xf numFmtId="41"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31" fillId="0" borderId="91" applyNumberFormat="0" applyFill="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26" fillId="16" borderId="106" applyNumberForma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0" fontId="4" fillId="23" borderId="105" applyNumberFormat="0" applyFont="0" applyAlignment="0" applyProtection="0"/>
    <xf numFmtId="43" fontId="33" fillId="0" borderId="0" applyFont="0" applyFill="0" applyBorder="0" applyAlignment="0" applyProtection="0"/>
    <xf numFmtId="43" fontId="33" fillId="0" borderId="0" applyFont="0" applyFill="0" applyBorder="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23" fillId="7" borderId="104"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97"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18" fillId="16" borderId="104"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0" fontId="23" fillId="7" borderId="97"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4" fillId="23" borderId="98" applyNumberFormat="0" applyFon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26" fillId="16" borderId="99" applyNumberFormat="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0"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0" fontId="31" fillId="0" borderId="107" applyNumberFormat="0" applyFill="0" applyAlignment="0" applyProtection="0"/>
    <xf numFmtId="43"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cellStyleXfs>
  <cellXfs count="798">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55" fillId="0" borderId="0" xfId="0" applyFont="1" applyAlignment="1" applyProtection="1">
      <alignment horizontal="center" vertical="center" wrapText="1"/>
      <protection locked="0" hidden="1"/>
    </xf>
    <xf numFmtId="0" fontId="51" fillId="0" borderId="0" xfId="0" applyFont="1" applyProtection="1">
      <protection hidden="1"/>
    </xf>
    <xf numFmtId="0" fontId="56" fillId="0" borderId="0" xfId="1327" applyFont="1" applyAlignment="1" applyProtection="1">
      <alignment vertical="center" wrapText="1"/>
      <protection hidden="1"/>
    </xf>
    <xf numFmtId="0" fontId="54" fillId="0" borderId="0" xfId="0" applyFont="1" applyProtection="1">
      <protection hidden="1"/>
    </xf>
    <xf numFmtId="0" fontId="3" fillId="0" borderId="0" xfId="1371" applyFont="1" applyAlignment="1" applyProtection="1">
      <alignment horizontal="center" vertical="center"/>
      <protection hidden="1"/>
    </xf>
    <xf numFmtId="0" fontId="57" fillId="0" borderId="0" xfId="1371" applyFont="1" applyAlignment="1" applyProtection="1">
      <alignment horizontal="center" vertical="center"/>
      <protection hidden="1"/>
    </xf>
    <xf numFmtId="0" fontId="53" fillId="0" borderId="0" xfId="0" applyFont="1" applyProtection="1">
      <protection hidden="1"/>
    </xf>
    <xf numFmtId="0" fontId="12" fillId="0" borderId="0" xfId="1371" applyFont="1" applyAlignment="1" applyProtection="1">
      <alignment horizontal="center" vertical="top" wrapText="1"/>
      <protection hidden="1"/>
    </xf>
    <xf numFmtId="0" fontId="8" fillId="61" borderId="71" xfId="1371" applyFont="1" applyFill="1" applyBorder="1" applyAlignment="1" applyProtection="1">
      <alignment vertical="center" wrapText="1"/>
      <protection hidden="1"/>
    </xf>
    <xf numFmtId="0" fontId="12" fillId="0" borderId="0" xfId="1371" applyFont="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6" fillId="0" borderId="0" xfId="1327" applyFont="1" applyAlignment="1" applyProtection="1">
      <alignment vertical="center"/>
      <protection hidden="1"/>
    </xf>
    <xf numFmtId="0" fontId="12" fillId="0" borderId="0" xfId="1371" applyFont="1" applyAlignment="1" applyProtection="1">
      <alignment horizontal="left" vertical="center" wrapText="1"/>
      <protection hidden="1"/>
    </xf>
    <xf numFmtId="0" fontId="12" fillId="0" borderId="0" xfId="1371" applyFont="1" applyAlignment="1" applyProtection="1">
      <alignment horizontal="center" vertical="center" wrapText="1"/>
      <protection hidden="1"/>
    </xf>
    <xf numFmtId="0" fontId="11" fillId="0" borderId="0" xfId="1371" applyFont="1" applyAlignment="1" applyProtection="1">
      <alignment horizontal="center" vertical="center" wrapText="1"/>
      <protection hidden="1"/>
    </xf>
    <xf numFmtId="0" fontId="13" fillId="0" borderId="0" xfId="1371" applyFont="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58" fillId="0" borderId="0" xfId="1327" applyFont="1" applyAlignment="1" applyProtection="1">
      <alignment vertical="center"/>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73" xfId="1371" applyFont="1" applyFill="1" applyBorder="1" applyAlignment="1" applyProtection="1">
      <alignment horizontal="center" vertical="center" wrapText="1"/>
      <protection hidden="1"/>
    </xf>
    <xf numFmtId="0" fontId="8" fillId="61" borderId="71" xfId="0" applyFont="1" applyFill="1" applyBorder="1" applyAlignment="1" applyProtection="1">
      <alignment horizontal="center" vertical="center" wrapText="1"/>
      <protection hidden="1"/>
    </xf>
    <xf numFmtId="0" fontId="8" fillId="61" borderId="72" xfId="1371" applyFont="1" applyFill="1" applyBorder="1" applyAlignment="1" applyProtection="1">
      <alignment horizontal="center" vertical="center" wrapText="1"/>
      <protection hidden="1"/>
    </xf>
    <xf numFmtId="0" fontId="8" fillId="61" borderId="73" xfId="1371" applyFont="1" applyFill="1" applyBorder="1" applyAlignment="1" applyProtection="1">
      <alignment horizontal="center" vertical="center"/>
      <protection hidden="1"/>
    </xf>
    <xf numFmtId="9" fontId="59" fillId="0" borderId="0" xfId="1495" applyFont="1" applyFill="1" applyBorder="1" applyAlignment="1" applyProtection="1">
      <alignment horizontal="center" vertical="center" wrapText="1"/>
      <protection hidden="1"/>
    </xf>
    <xf numFmtId="0" fontId="60" fillId="0" borderId="0" xfId="1371" applyFont="1" applyAlignment="1" applyProtection="1">
      <alignment horizontal="center" vertical="center" wrapText="1"/>
      <protection locked="0" hidden="1"/>
    </xf>
    <xf numFmtId="0" fontId="54" fillId="0" borderId="0" xfId="0" applyFont="1" applyAlignment="1" applyProtection="1">
      <alignment horizontal="center" vertical="center"/>
      <protection hidden="1"/>
    </xf>
    <xf numFmtId="0" fontId="3" fillId="0" borderId="0" xfId="1371" applyFont="1" applyAlignment="1" applyProtection="1">
      <alignment horizontal="center" vertical="center" wrapText="1"/>
      <protection locked="0" hidden="1"/>
    </xf>
    <xf numFmtId="14" fontId="9" fillId="0" borderId="71" xfId="1371" applyNumberFormat="1" applyFont="1" applyBorder="1" applyAlignment="1" applyProtection="1">
      <alignment vertical="center" wrapText="1"/>
      <protection locked="0" hidden="1"/>
    </xf>
    <xf numFmtId="0" fontId="4" fillId="0" borderId="0" xfId="1371" applyAlignment="1" applyProtection="1">
      <alignment vertical="center" wrapText="1"/>
      <protection locked="0" hidden="1"/>
    </xf>
    <xf numFmtId="0" fontId="61" fillId="0" borderId="0" xfId="0" applyFont="1" applyAlignment="1" applyProtection="1">
      <alignment horizontal="center"/>
      <protection hidden="1"/>
    </xf>
    <xf numFmtId="0" fontId="4" fillId="0" borderId="0" xfId="137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ill="1" applyAlignment="1" applyProtection="1">
      <alignment vertical="center"/>
      <protection hidden="1"/>
    </xf>
    <xf numFmtId="0" fontId="4" fillId="24" borderId="0" xfId="137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5" fillId="0" borderId="0" xfId="0" applyFont="1" applyAlignment="1" applyProtection="1">
      <alignment horizontal="center"/>
      <protection hidden="1"/>
    </xf>
    <xf numFmtId="0" fontId="55" fillId="0" borderId="0" xfId="0" applyFont="1" applyProtection="1">
      <protection hidden="1"/>
    </xf>
    <xf numFmtId="178" fontId="54" fillId="0" borderId="71" xfId="0" applyNumberFormat="1" applyFont="1" applyBorder="1" applyProtection="1">
      <protection hidden="1"/>
    </xf>
    <xf numFmtId="0" fontId="8" fillId="61" borderId="65" xfId="1371" applyFont="1" applyFill="1" applyBorder="1" applyAlignment="1" applyProtection="1">
      <alignment horizontal="justify" vertical="center" wrapText="1"/>
      <protection hidden="1"/>
    </xf>
    <xf numFmtId="9" fontId="3" fillId="24" borderId="0" xfId="1496" applyFont="1" applyFill="1" applyAlignment="1" applyProtection="1">
      <alignment horizontal="center" vertical="center"/>
      <protection hidden="1"/>
    </xf>
    <xf numFmtId="0" fontId="76" fillId="0" borderId="0" xfId="0" applyFont="1" applyProtection="1">
      <protection hidden="1"/>
    </xf>
    <xf numFmtId="0" fontId="76" fillId="0" borderId="0" xfId="1327" applyFont="1" applyAlignment="1" applyProtection="1">
      <alignment vertical="center" wrapText="1"/>
      <protection hidden="1"/>
    </xf>
    <xf numFmtId="0" fontId="76" fillId="0" borderId="0" xfId="1327" applyFont="1" applyAlignment="1" applyProtection="1">
      <alignment vertical="center"/>
      <protection hidden="1"/>
    </xf>
    <xf numFmtId="179" fontId="70" fillId="50" borderId="71" xfId="1250" applyNumberFormat="1" applyFont="1" applyFill="1" applyBorder="1" applyAlignment="1" applyProtection="1">
      <alignment horizontal="center" vertical="center"/>
      <protection hidden="1"/>
    </xf>
    <xf numFmtId="179" fontId="70" fillId="0" borderId="71" xfId="0" applyNumberFormat="1" applyFont="1" applyBorder="1" applyProtection="1">
      <protection hidden="1"/>
    </xf>
    <xf numFmtId="0" fontId="8" fillId="61" borderId="71" xfId="1371" applyFont="1" applyFill="1" applyBorder="1" applyAlignment="1" applyProtection="1">
      <alignment horizontal="center" vertical="center" wrapText="1"/>
      <protection locked="0" hidden="1"/>
    </xf>
    <xf numFmtId="0" fontId="5" fillId="0" borderId="71" xfId="1371" applyFont="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8" fillId="61" borderId="71" xfId="1371" applyFont="1" applyFill="1" applyBorder="1" applyAlignment="1" applyProtection="1">
      <alignment horizontal="center" vertical="center" wrapText="1"/>
      <protection hidden="1"/>
    </xf>
    <xf numFmtId="0" fontId="5" fillId="0" borderId="71" xfId="1371" applyFont="1" applyBorder="1" applyAlignment="1" applyProtection="1">
      <alignment horizontal="center" vertical="center"/>
      <protection hidden="1"/>
    </xf>
    <xf numFmtId="0" fontId="5" fillId="0" borderId="72" xfId="1371" applyFont="1" applyBorder="1" applyAlignment="1" applyProtection="1">
      <alignment horizontal="center" vertical="center"/>
      <protection hidden="1"/>
    </xf>
    <xf numFmtId="0" fontId="8" fillId="61" borderId="73" xfId="1371" applyFont="1" applyFill="1" applyBorder="1" applyAlignment="1" applyProtection="1">
      <alignment horizontal="left" vertical="center" wrapText="1"/>
      <protection hidden="1"/>
    </xf>
    <xf numFmtId="177" fontId="5" fillId="0" borderId="75" xfId="1496" applyNumberFormat="1" applyFont="1" applyFill="1" applyBorder="1" applyAlignment="1" applyProtection="1">
      <alignment horizontal="center" vertical="center" wrapText="1"/>
      <protection hidden="1"/>
    </xf>
    <xf numFmtId="177" fontId="5" fillId="0" borderId="78" xfId="1496" applyNumberFormat="1" applyFont="1" applyFill="1" applyBorder="1" applyAlignment="1" applyProtection="1">
      <alignment vertical="center" wrapText="1"/>
      <protection hidden="1"/>
    </xf>
    <xf numFmtId="0" fontId="8" fillId="61" borderId="74" xfId="1371" applyFont="1" applyFill="1" applyBorder="1" applyAlignment="1" applyProtection="1">
      <alignment vertical="top" wrapText="1"/>
      <protection hidden="1"/>
    </xf>
    <xf numFmtId="179" fontId="5" fillId="24" borderId="75" xfId="1250" applyNumberFormat="1" applyFont="1" applyFill="1" applyBorder="1" applyAlignment="1" applyProtection="1">
      <alignment horizontal="center" vertical="center"/>
      <protection hidden="1"/>
    </xf>
    <xf numFmtId="0" fontId="8" fillId="61" borderId="73" xfId="1371" applyFont="1" applyFill="1" applyBorder="1" applyAlignment="1" applyProtection="1">
      <alignment horizontal="justify" vertical="center" wrapText="1"/>
      <protection locked="0" hidden="1"/>
    </xf>
    <xf numFmtId="0" fontId="8" fillId="61" borderId="73" xfId="1371" applyFont="1" applyFill="1" applyBorder="1" applyAlignment="1" applyProtection="1">
      <alignment horizontal="justify" vertical="center" wrapText="1"/>
      <protection hidden="1"/>
    </xf>
    <xf numFmtId="0" fontId="8" fillId="61" borderId="79" xfId="1371" applyFont="1" applyFill="1" applyBorder="1" applyAlignment="1" applyProtection="1">
      <alignment horizontal="left" vertical="center" wrapText="1"/>
      <protection hidden="1"/>
    </xf>
    <xf numFmtId="14" fontId="9" fillId="0" borderId="71" xfId="1371" applyNumberFormat="1" applyFont="1" applyBorder="1" applyAlignment="1" applyProtection="1">
      <alignment horizontal="center" vertical="center" wrapText="1"/>
      <protection locked="0" hidden="1"/>
    </xf>
    <xf numFmtId="0" fontId="8" fillId="61" borderId="73" xfId="1371" applyFont="1" applyFill="1" applyBorder="1" applyAlignment="1" applyProtection="1">
      <alignment horizontal="justify" vertical="center"/>
      <protection hidden="1"/>
    </xf>
    <xf numFmtId="0" fontId="8" fillId="61" borderId="73" xfId="1371" applyFont="1" applyFill="1" applyBorder="1" applyAlignment="1" applyProtection="1">
      <alignment vertical="center" wrapText="1"/>
      <protection hidden="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167" fontId="59" fillId="0" borderId="0" xfId="1495" applyNumberFormat="1"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177" fontId="5" fillId="0" borderId="78" xfId="1496" applyNumberFormat="1" applyFont="1" applyFill="1" applyBorder="1" applyAlignment="1" applyProtection="1">
      <alignment horizontal="center" vertical="center" wrapText="1"/>
      <protection hidden="1"/>
    </xf>
    <xf numFmtId="14" fontId="5" fillId="0" borderId="71" xfId="1371" applyNumberFormat="1" applyFont="1" applyBorder="1" applyAlignment="1" applyProtection="1">
      <alignment horizontal="center" vertical="center" wrapText="1"/>
      <protection locked="0" hidden="1"/>
    </xf>
    <xf numFmtId="178" fontId="81" fillId="24" borderId="71" xfId="1250" applyNumberFormat="1" applyFont="1" applyFill="1" applyBorder="1" applyAlignment="1" applyProtection="1">
      <alignment horizontal="center" vertical="center"/>
      <protection hidden="1"/>
    </xf>
    <xf numFmtId="9" fontId="54" fillId="0" borderId="71" xfId="1495" applyFont="1" applyBorder="1" applyProtection="1">
      <protection hidden="1"/>
    </xf>
    <xf numFmtId="10" fontId="9" fillId="50" borderId="74" xfId="1495" applyNumberFormat="1" applyFont="1" applyFill="1" applyBorder="1" applyAlignment="1" applyProtection="1">
      <alignment vertical="center" wrapText="1"/>
      <protection locked="0" hidden="1"/>
    </xf>
    <xf numFmtId="178" fontId="5" fillId="0" borderId="75" xfId="1496" applyNumberFormat="1" applyFont="1" applyFill="1" applyBorder="1" applyAlignment="1" applyProtection="1">
      <alignment horizontal="center" vertical="center" wrapText="1"/>
      <protection hidden="1"/>
    </xf>
    <xf numFmtId="178" fontId="5" fillId="0" borderId="72" xfId="1496" applyNumberFormat="1" applyFont="1" applyFill="1" applyBorder="1" applyAlignment="1" applyProtection="1">
      <alignment horizontal="center" vertical="center" wrapText="1"/>
      <protection hidden="1"/>
    </xf>
    <xf numFmtId="0" fontId="9" fillId="0" borderId="71" xfId="1371" applyFont="1" applyBorder="1" applyAlignment="1" applyProtection="1">
      <alignment horizontal="center" vertical="center"/>
      <protection hidden="1"/>
    </xf>
    <xf numFmtId="0" fontId="9" fillId="0" borderId="72" xfId="1371" applyFont="1" applyBorder="1" applyAlignment="1" applyProtection="1">
      <alignment horizontal="center" vertical="center"/>
      <protection hidden="1"/>
    </xf>
    <xf numFmtId="1" fontId="9" fillId="24" borderId="75" xfId="1496" applyNumberFormat="1" applyFont="1" applyFill="1" applyBorder="1" applyAlignment="1" applyProtection="1">
      <alignment vertical="center" wrapText="1"/>
      <protection hidden="1"/>
    </xf>
    <xf numFmtId="1" fontId="9" fillId="24" borderId="78" xfId="1496" applyNumberFormat="1" applyFont="1" applyFill="1" applyBorder="1" applyAlignment="1" applyProtection="1">
      <alignment vertical="center" wrapText="1"/>
      <protection hidden="1"/>
    </xf>
    <xf numFmtId="167" fontId="63" fillId="0" borderId="71" xfId="1250" applyFont="1" applyFill="1" applyBorder="1" applyAlignment="1" applyProtection="1">
      <alignment horizontal="center" vertical="center"/>
      <protection hidden="1"/>
    </xf>
    <xf numFmtId="167" fontId="9" fillId="0" borderId="75" xfId="1250" applyFont="1" applyFill="1" applyBorder="1" applyAlignment="1" applyProtection="1">
      <alignment horizontal="center" vertical="center"/>
      <protection hidden="1"/>
    </xf>
    <xf numFmtId="9" fontId="54" fillId="0" borderId="71" xfId="0" applyNumberFormat="1" applyFont="1" applyBorder="1" applyProtection="1">
      <protection hidden="1"/>
    </xf>
    <xf numFmtId="167" fontId="63" fillId="24" borderId="71" xfId="1250" applyFont="1" applyFill="1" applyBorder="1" applyAlignment="1" applyProtection="1">
      <alignment horizontal="center" vertical="center"/>
      <protection hidden="1"/>
    </xf>
    <xf numFmtId="177" fontId="5" fillId="24" borderId="75" xfId="1496" applyNumberFormat="1" applyFont="1" applyFill="1" applyBorder="1" applyAlignment="1" applyProtection="1">
      <alignment horizontal="center" vertical="center" wrapText="1"/>
      <protection hidden="1"/>
    </xf>
    <xf numFmtId="177" fontId="5" fillId="24" borderId="78" xfId="1496" applyNumberFormat="1" applyFont="1" applyFill="1" applyBorder="1" applyAlignment="1" applyProtection="1">
      <alignment horizontal="center" vertical="center" wrapText="1"/>
      <protection hidden="1"/>
    </xf>
    <xf numFmtId="179" fontId="70" fillId="24" borderId="71" xfId="1250" applyNumberFormat="1" applyFont="1" applyFill="1" applyBorder="1" applyAlignment="1" applyProtection="1">
      <alignment horizontal="center" vertical="center"/>
      <protection hidden="1"/>
    </xf>
    <xf numFmtId="167" fontId="70" fillId="24" borderId="75" xfId="1250" applyFont="1" applyFill="1" applyBorder="1" applyAlignment="1" applyProtection="1">
      <alignment horizontal="center" vertical="center"/>
      <protection hidden="1"/>
    </xf>
    <xf numFmtId="180" fontId="70" fillId="24" borderId="75" xfId="1250" applyNumberFormat="1" applyFont="1" applyFill="1" applyBorder="1" applyAlignment="1" applyProtection="1">
      <alignment horizontal="center" vertical="center"/>
      <protection hidden="1"/>
    </xf>
    <xf numFmtId="180" fontId="70" fillId="24" borderId="71" xfId="1250" applyNumberFormat="1" applyFont="1" applyFill="1" applyBorder="1" applyAlignment="1" applyProtection="1">
      <alignment horizontal="center" vertical="center"/>
      <protection hidden="1"/>
    </xf>
    <xf numFmtId="0" fontId="54" fillId="0" borderId="52" xfId="0" applyFont="1" applyBorder="1" applyProtection="1">
      <protection hidden="1"/>
    </xf>
    <xf numFmtId="0" fontId="54" fillId="0" borderId="14" xfId="0" applyFont="1" applyBorder="1" applyProtection="1">
      <protection hidden="1"/>
    </xf>
    <xf numFmtId="0" fontId="15" fillId="61" borderId="71" xfId="1371" applyFont="1" applyFill="1" applyBorder="1" applyAlignment="1" applyProtection="1">
      <alignment vertical="center" wrapText="1"/>
      <protection hidden="1"/>
    </xf>
    <xf numFmtId="2" fontId="5" fillId="0" borderId="75" xfId="1496" applyNumberFormat="1" applyFont="1" applyFill="1" applyBorder="1" applyAlignment="1" applyProtection="1">
      <alignment horizontal="center" vertical="center" wrapText="1"/>
      <protection hidden="1"/>
    </xf>
    <xf numFmtId="2" fontId="5" fillId="0" borderId="78" xfId="1496" applyNumberFormat="1" applyFont="1" applyFill="1" applyBorder="1" applyAlignment="1" applyProtection="1">
      <alignment horizontal="center" vertical="center" wrapText="1"/>
      <protection hidden="1"/>
    </xf>
    <xf numFmtId="14" fontId="12" fillId="0" borderId="71" xfId="1371" applyNumberFormat="1" applyFont="1" applyBorder="1" applyAlignment="1" applyProtection="1">
      <alignment horizontal="center" vertical="center" wrapText="1"/>
      <protection locked="0" hidden="1"/>
    </xf>
    <xf numFmtId="0" fontId="54" fillId="0" borderId="39" xfId="0" applyFont="1" applyBorder="1" applyProtection="1">
      <protection hidden="1"/>
    </xf>
    <xf numFmtId="43" fontId="9" fillId="0" borderId="75" xfId="1876" applyFont="1" applyFill="1" applyBorder="1" applyAlignment="1">
      <alignment horizontal="center" vertical="center"/>
    </xf>
    <xf numFmtId="43" fontId="63" fillId="0" borderId="71" xfId="1876" applyNumberFormat="1" applyFont="1" applyFill="1" applyBorder="1" applyAlignment="1">
      <alignment horizontal="center" vertical="center"/>
    </xf>
    <xf numFmtId="43" fontId="63" fillId="24" borderId="71" xfId="1876" applyNumberFormat="1" applyFont="1" applyFill="1" applyBorder="1" applyAlignment="1">
      <alignment horizontal="center" vertical="center"/>
    </xf>
    <xf numFmtId="9" fontId="70" fillId="0" borderId="71" xfId="1495" applyFont="1" applyBorder="1" applyProtection="1">
      <protection hidden="1"/>
    </xf>
    <xf numFmtId="167" fontId="9" fillId="24" borderId="71" xfId="1250" applyFont="1" applyFill="1" applyBorder="1" applyAlignment="1" applyProtection="1">
      <alignment horizontal="center" vertical="center"/>
      <protection hidden="1"/>
    </xf>
    <xf numFmtId="181" fontId="11" fillId="0" borderId="0" xfId="1371" applyNumberFormat="1" applyFont="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hidden="1"/>
    </xf>
    <xf numFmtId="0" fontId="73" fillId="0" borderId="73" xfId="0" applyFont="1" applyBorder="1" applyAlignment="1" applyProtection="1">
      <alignment horizontal="center" wrapText="1"/>
      <protection locked="0" hidden="1"/>
    </xf>
    <xf numFmtId="0" fontId="73" fillId="0" borderId="65" xfId="0" applyFont="1" applyBorder="1" applyAlignment="1" applyProtection="1">
      <alignment horizontal="center" wrapText="1"/>
      <protection locked="0" hidden="1"/>
    </xf>
    <xf numFmtId="0" fontId="57" fillId="0" borderId="29" xfId="0" applyFont="1" applyBorder="1" applyAlignment="1" applyProtection="1">
      <alignment horizontal="center" vertical="center" wrapText="1"/>
      <protection locked="0" hidden="1"/>
    </xf>
    <xf numFmtId="0" fontId="55" fillId="0" borderId="30" xfId="0" applyFont="1" applyBorder="1" applyAlignment="1" applyProtection="1">
      <alignment horizontal="center" vertical="center" wrapText="1"/>
      <protection locked="0" hidden="1"/>
    </xf>
    <xf numFmtId="0" fontId="55" fillId="0" borderId="72" xfId="0" applyFont="1" applyBorder="1" applyAlignment="1" applyProtection="1">
      <alignment horizontal="center" vertical="center" wrapText="1"/>
      <protection locked="0" hidden="1"/>
    </xf>
    <xf numFmtId="0" fontId="55" fillId="0" borderId="67" xfId="0" applyFont="1" applyBorder="1" applyAlignment="1" applyProtection="1">
      <alignment horizontal="center" vertical="center" wrapText="1"/>
      <protection locked="0" hidden="1"/>
    </xf>
    <xf numFmtId="0" fontId="75" fillId="0" borderId="71" xfId="0" applyFont="1" applyBorder="1" applyAlignment="1" applyProtection="1">
      <alignment horizontal="center" vertical="center" wrapText="1"/>
      <protection locked="0" hidden="1"/>
    </xf>
    <xf numFmtId="0" fontId="75" fillId="0" borderId="66" xfId="0" applyFont="1" applyBorder="1" applyAlignment="1" applyProtection="1">
      <alignment horizontal="center" vertical="center" wrapText="1"/>
      <protection locked="0" hidden="1"/>
    </xf>
    <xf numFmtId="0" fontId="11" fillId="24" borderId="33" xfId="1371" applyFont="1" applyFill="1" applyBorder="1" applyAlignment="1" applyProtection="1">
      <alignment horizontal="center" vertical="center"/>
      <protection hidden="1"/>
    </xf>
    <xf numFmtId="0" fontId="11" fillId="24" borderId="19" xfId="1371" applyFont="1" applyFill="1" applyBorder="1" applyAlignment="1" applyProtection="1">
      <alignment horizontal="center" vertical="center"/>
      <protection hidden="1"/>
    </xf>
    <xf numFmtId="0" fontId="11" fillId="24" borderId="64" xfId="1371" applyFont="1" applyFill="1" applyBorder="1" applyAlignment="1" applyProtection="1">
      <alignment horizontal="center" vertical="center"/>
      <protection hidden="1"/>
    </xf>
    <xf numFmtId="0" fontId="57" fillId="61" borderId="73" xfId="1371" applyFont="1" applyFill="1" applyBorder="1" applyAlignment="1" applyProtection="1">
      <alignment horizontal="center" vertical="center"/>
      <protection hidden="1"/>
    </xf>
    <xf numFmtId="0" fontId="57" fillId="61" borderId="71" xfId="1371" applyFont="1" applyFill="1" applyBorder="1" applyAlignment="1" applyProtection="1">
      <alignment horizontal="center" vertical="center"/>
      <protection hidden="1"/>
    </xf>
    <xf numFmtId="0" fontId="57" fillId="61" borderId="72" xfId="1371" applyFont="1" applyFill="1" applyBorder="1" applyAlignment="1" applyProtection="1">
      <alignment horizontal="center" vertical="center"/>
      <protection hidden="1"/>
    </xf>
    <xf numFmtId="0" fontId="8" fillId="61" borderId="71" xfId="1371" applyFont="1" applyFill="1" applyBorder="1" applyAlignment="1" applyProtection="1">
      <alignment horizontal="center" vertical="center" wrapText="1"/>
      <protection hidden="1"/>
    </xf>
    <xf numFmtId="0" fontId="5" fillId="0" borderId="71" xfId="1371" applyFont="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5" fillId="0" borderId="71" xfId="1371" applyFont="1" applyBorder="1" applyAlignment="1" applyProtection="1">
      <alignment horizontal="center" vertical="center"/>
      <protection hidden="1"/>
    </xf>
    <xf numFmtId="0" fontId="5" fillId="50" borderId="71" xfId="1371" applyFont="1" applyFill="1" applyBorder="1" applyAlignment="1" applyProtection="1">
      <alignment horizontal="center" vertical="center" wrapText="1"/>
      <protection hidden="1"/>
    </xf>
    <xf numFmtId="0" fontId="5" fillId="50" borderId="72" xfId="1371" applyFont="1" applyFill="1" applyBorder="1" applyAlignment="1" applyProtection="1">
      <alignment horizontal="center" vertical="center" wrapText="1"/>
      <protection hidden="1"/>
    </xf>
    <xf numFmtId="1" fontId="5" fillId="0" borderId="71" xfId="1273" applyNumberFormat="1" applyFont="1" applyFill="1" applyBorder="1" applyAlignment="1" applyProtection="1">
      <alignment horizontal="center" vertical="center" wrapText="1"/>
      <protection hidden="1"/>
    </xf>
    <xf numFmtId="1" fontId="5" fillId="0" borderId="72" xfId="1273" applyNumberFormat="1" applyFont="1" applyFill="1" applyBorder="1" applyAlignment="1" applyProtection="1">
      <alignment horizontal="center" vertical="center" wrapText="1"/>
      <protection hidden="1"/>
    </xf>
    <xf numFmtId="9" fontId="5" fillId="0" borderId="71" xfId="1496" applyFont="1" applyFill="1" applyBorder="1" applyAlignment="1" applyProtection="1">
      <alignment horizontal="center" vertical="center"/>
      <protection hidden="1"/>
    </xf>
    <xf numFmtId="0" fontId="5" fillId="0" borderId="71" xfId="1496" applyNumberFormat="1" applyFont="1" applyFill="1" applyBorder="1" applyAlignment="1" applyProtection="1">
      <alignment horizontal="center" vertical="center" wrapText="1"/>
      <protection hidden="1"/>
    </xf>
    <xf numFmtId="0" fontId="5" fillId="0" borderId="72" xfId="1496" applyNumberFormat="1" applyFont="1" applyFill="1" applyBorder="1" applyAlignment="1" applyProtection="1">
      <alignment horizontal="center" vertical="center" wrapText="1"/>
      <protection hidden="1"/>
    </xf>
    <xf numFmtId="0" fontId="5" fillId="0" borderId="71" xfId="1371" applyFont="1" applyFill="1" applyBorder="1" applyAlignment="1" applyProtection="1">
      <alignment horizontal="center" vertical="center" wrapText="1"/>
      <protection hidden="1"/>
    </xf>
    <xf numFmtId="0" fontId="5" fillId="0" borderId="72" xfId="1371" applyFont="1" applyFill="1" applyBorder="1" applyAlignment="1" applyProtection="1">
      <alignment horizontal="center" vertical="center" wrapText="1"/>
      <protection hidden="1"/>
    </xf>
    <xf numFmtId="0" fontId="5" fillId="0" borderId="71" xfId="1371" applyFont="1" applyFill="1" applyBorder="1" applyAlignment="1" applyProtection="1">
      <alignment horizontal="center" vertical="center"/>
      <protection hidden="1"/>
    </xf>
    <xf numFmtId="0" fontId="5" fillId="0" borderId="72" xfId="1371" applyFont="1" applyFill="1" applyBorder="1" applyAlignment="1" applyProtection="1">
      <alignment horizontal="center" vertical="center"/>
      <protection hidden="1"/>
    </xf>
    <xf numFmtId="49" fontId="5" fillId="0" borderId="71" xfId="1371" applyNumberFormat="1" applyFont="1" applyFill="1" applyBorder="1" applyAlignment="1" applyProtection="1">
      <alignment horizontal="center" vertical="center"/>
      <protection hidden="1"/>
    </xf>
    <xf numFmtId="14" fontId="5" fillId="0" borderId="75" xfId="1371" applyNumberFormat="1" applyFont="1" applyFill="1" applyBorder="1" applyAlignment="1" applyProtection="1">
      <alignment horizontal="center" vertical="center" wrapText="1"/>
      <protection hidden="1"/>
    </xf>
    <xf numFmtId="0" fontId="5" fillId="0" borderId="76" xfId="1371" applyFont="1" applyFill="1" applyBorder="1" applyAlignment="1" applyProtection="1">
      <alignment horizontal="center" vertical="center" wrapText="1"/>
      <protection hidden="1"/>
    </xf>
    <xf numFmtId="0" fontId="5" fillId="0" borderId="77" xfId="1371" applyFont="1" applyFill="1" applyBorder="1" applyAlignment="1" applyProtection="1">
      <alignment horizontal="center" vertical="center" wrapText="1"/>
      <protection hidden="1"/>
    </xf>
    <xf numFmtId="175" fontId="5" fillId="0" borderId="75" xfId="1496" applyNumberFormat="1" applyFont="1" applyFill="1" applyBorder="1" applyAlignment="1" applyProtection="1">
      <alignment horizontal="center" vertical="center" wrapText="1"/>
      <protection hidden="1"/>
    </xf>
    <xf numFmtId="175" fontId="5" fillId="0" borderId="76" xfId="1496" applyNumberFormat="1" applyFont="1" applyFill="1" applyBorder="1" applyAlignment="1" applyProtection="1">
      <alignment horizontal="center" vertical="center" wrapText="1"/>
      <protection hidden="1"/>
    </xf>
    <xf numFmtId="175" fontId="5" fillId="0" borderId="78" xfId="1496" applyNumberFormat="1" applyFont="1" applyFill="1" applyBorder="1" applyAlignment="1" applyProtection="1">
      <alignment horizontal="center" vertical="center" wrapText="1"/>
      <protection hidden="1"/>
    </xf>
    <xf numFmtId="0" fontId="77" fillId="0" borderId="71" xfId="1371" applyFont="1" applyBorder="1" applyAlignment="1" applyProtection="1">
      <alignment horizontal="center" vertical="center"/>
      <protection hidden="1"/>
    </xf>
    <xf numFmtId="0" fontId="77" fillId="0" borderId="72" xfId="1371" applyFont="1" applyBorder="1" applyAlignment="1" applyProtection="1">
      <alignment horizontal="center" vertical="center"/>
      <protection hidden="1"/>
    </xf>
    <xf numFmtId="0" fontId="8" fillId="61" borderId="73" xfId="1371" applyFont="1" applyFill="1" applyBorder="1" applyAlignment="1" applyProtection="1">
      <alignment horizontal="left" vertical="center" wrapText="1"/>
      <protection hidden="1"/>
    </xf>
    <xf numFmtId="0" fontId="8" fillId="61" borderId="71" xfId="1371" applyFont="1" applyFill="1" applyBorder="1" applyAlignment="1" applyProtection="1">
      <alignment horizontal="center" vertical="center"/>
      <protection hidden="1"/>
    </xf>
    <xf numFmtId="9" fontId="8" fillId="61" borderId="71" xfId="1496" applyFont="1" applyFill="1" applyBorder="1" applyAlignment="1" applyProtection="1">
      <alignment horizontal="center" vertical="center"/>
      <protection hidden="1"/>
    </xf>
    <xf numFmtId="9" fontId="8" fillId="61" borderId="72" xfId="1496" applyFont="1" applyFill="1" applyBorder="1" applyAlignment="1" applyProtection="1">
      <alignment horizontal="center" vertical="center"/>
      <protection hidden="1"/>
    </xf>
    <xf numFmtId="0" fontId="5" fillId="0" borderId="75" xfId="1371" applyFont="1" applyBorder="1" applyAlignment="1" applyProtection="1">
      <alignment horizontal="center" vertical="center"/>
      <protection hidden="1"/>
    </xf>
    <xf numFmtId="0" fontId="5" fillId="0" borderId="76" xfId="1371" applyFont="1" applyBorder="1" applyAlignment="1" applyProtection="1">
      <alignment horizontal="center" vertical="center"/>
      <protection hidden="1"/>
    </xf>
    <xf numFmtId="0" fontId="5" fillId="0" borderId="77" xfId="1371" applyFont="1" applyBorder="1" applyAlignment="1" applyProtection="1">
      <alignment horizontal="center" vertical="center"/>
      <protection hidden="1"/>
    </xf>
    <xf numFmtId="0" fontId="5" fillId="50" borderId="71" xfId="1371" applyFont="1" applyFill="1" applyBorder="1" applyAlignment="1" applyProtection="1">
      <alignment horizontal="center" vertical="center"/>
      <protection hidden="1"/>
    </xf>
    <xf numFmtId="0" fontId="5" fillId="50" borderId="72" xfId="1371" applyFont="1" applyFill="1" applyBorder="1" applyAlignment="1" applyProtection="1">
      <alignment horizontal="center" vertical="center"/>
      <protection hidden="1"/>
    </xf>
    <xf numFmtId="0" fontId="5" fillId="0" borderId="75" xfId="1371" applyFont="1" applyBorder="1" applyAlignment="1" applyProtection="1">
      <alignment horizontal="justify" vertical="center" wrapText="1"/>
      <protection hidden="1"/>
    </xf>
    <xf numFmtId="0" fontId="5" fillId="0" borderId="76" xfId="1371" applyFont="1" applyBorder="1" applyAlignment="1" applyProtection="1">
      <alignment horizontal="justify" vertical="center" wrapText="1"/>
      <protection hidden="1"/>
    </xf>
    <xf numFmtId="0" fontId="5" fillId="0" borderId="77" xfId="1371" applyFont="1" applyBorder="1" applyAlignment="1" applyProtection="1">
      <alignment horizontal="justify" vertical="center" wrapText="1"/>
      <protection hidden="1"/>
    </xf>
    <xf numFmtId="0" fontId="5" fillId="0" borderId="75" xfId="1371" applyFont="1" applyBorder="1" applyAlignment="1" applyProtection="1">
      <alignment horizontal="center" vertical="center" wrapText="1"/>
      <protection hidden="1"/>
    </xf>
    <xf numFmtId="0" fontId="5" fillId="0" borderId="76" xfId="1371" applyFont="1" applyBorder="1" applyAlignment="1" applyProtection="1">
      <alignment horizontal="center" vertical="center" wrapText="1"/>
      <protection hidden="1"/>
    </xf>
    <xf numFmtId="0" fontId="5" fillId="0" borderId="78" xfId="1371" applyFont="1" applyBorder="1" applyAlignment="1" applyProtection="1">
      <alignment horizontal="center" vertical="center" wrapText="1"/>
      <protection hidden="1"/>
    </xf>
    <xf numFmtId="14" fontId="5" fillId="0" borderId="76" xfId="1371" applyNumberFormat="1" applyFont="1" applyFill="1" applyBorder="1" applyAlignment="1" applyProtection="1">
      <alignment horizontal="center" vertical="center" wrapText="1"/>
      <protection hidden="1"/>
    </xf>
    <xf numFmtId="14" fontId="5" fillId="0" borderId="77" xfId="1371" applyNumberFormat="1" applyFont="1" applyFill="1" applyBorder="1" applyAlignment="1" applyProtection="1">
      <alignment horizontal="center" vertical="center" wrapText="1"/>
      <protection hidden="1"/>
    </xf>
    <xf numFmtId="0" fontId="5" fillId="0" borderId="82" xfId="1371" applyFont="1" applyFill="1" applyBorder="1" applyAlignment="1" applyProtection="1">
      <alignment horizontal="center" vertical="center"/>
      <protection hidden="1"/>
    </xf>
    <xf numFmtId="0" fontId="5" fillId="0" borderId="83" xfId="1371" applyFont="1" applyFill="1" applyBorder="1" applyAlignment="1" applyProtection="1">
      <alignment horizontal="center" vertical="center"/>
      <protection hidden="1"/>
    </xf>
    <xf numFmtId="0" fontId="5" fillId="0" borderId="84" xfId="1371" applyFont="1" applyFill="1" applyBorder="1" applyAlignment="1" applyProtection="1">
      <alignment horizontal="center" vertical="center"/>
      <protection hidden="1"/>
    </xf>
    <xf numFmtId="0" fontId="5" fillId="0" borderId="75" xfId="1371" applyFont="1" applyFill="1" applyBorder="1" applyAlignment="1" applyProtection="1">
      <alignment horizontal="center" vertical="center" wrapText="1"/>
      <protection hidden="1"/>
    </xf>
    <xf numFmtId="0" fontId="5" fillId="0" borderId="78" xfId="1371" applyFont="1" applyFill="1" applyBorder="1" applyAlignment="1" applyProtection="1">
      <alignment horizontal="center" vertical="center" wrapText="1"/>
      <protection hidden="1"/>
    </xf>
    <xf numFmtId="0" fontId="51" fillId="50" borderId="75" xfId="1371" applyFont="1" applyFill="1" applyBorder="1" applyAlignment="1" applyProtection="1">
      <alignment horizontal="justify" vertical="center" wrapText="1"/>
      <protection locked="0" hidden="1"/>
    </xf>
    <xf numFmtId="0" fontId="51" fillId="50" borderId="76" xfId="1371" applyFont="1" applyFill="1" applyBorder="1" applyAlignment="1" applyProtection="1">
      <alignment horizontal="justify" vertical="center" wrapText="1"/>
      <protection locked="0" hidden="1"/>
    </xf>
    <xf numFmtId="0" fontId="51" fillId="50" borderId="78" xfId="1371" applyFont="1" applyFill="1" applyBorder="1" applyAlignment="1" applyProtection="1">
      <alignment horizontal="justify" vertical="center" wrapText="1"/>
      <protection locked="0" hidden="1"/>
    </xf>
    <xf numFmtId="0" fontId="50" fillId="0" borderId="81" xfId="1371" applyFont="1" applyBorder="1" applyAlignment="1" applyProtection="1">
      <alignment horizontal="center" vertical="center"/>
      <protection hidden="1"/>
    </xf>
    <xf numFmtId="0" fontId="50" fillId="0" borderId="83" xfId="1371" applyFont="1" applyBorder="1" applyAlignment="1" applyProtection="1">
      <alignment horizontal="center" vertical="center"/>
      <protection hidden="1"/>
    </xf>
    <xf numFmtId="0" fontId="50" fillId="0" borderId="85" xfId="1371" applyFont="1" applyBorder="1" applyAlignment="1" applyProtection="1">
      <alignment horizontal="center" vertical="center"/>
      <protection hidden="1"/>
    </xf>
    <xf numFmtId="0" fontId="50" fillId="0" borderId="14" xfId="1371" applyFont="1" applyBorder="1" applyAlignment="1" applyProtection="1">
      <alignment horizontal="center" vertical="center"/>
      <protection hidden="1"/>
    </xf>
    <xf numFmtId="0" fontId="50" fillId="0" borderId="0" xfId="1371" applyFont="1" applyBorder="1" applyAlignment="1" applyProtection="1">
      <alignment horizontal="center" vertical="center"/>
      <protection hidden="1"/>
    </xf>
    <xf numFmtId="0" fontId="50" fillId="0" borderId="15" xfId="1371" applyFont="1" applyBorder="1" applyAlignment="1" applyProtection="1">
      <alignment horizontal="center" vertical="center"/>
      <protection hidden="1"/>
    </xf>
    <xf numFmtId="0" fontId="50" fillId="0" borderId="48" xfId="1371" applyFont="1" applyBorder="1" applyAlignment="1" applyProtection="1">
      <alignment horizontal="center" vertical="center"/>
      <protection hidden="1"/>
    </xf>
    <xf numFmtId="0" fontId="50" fillId="0" borderId="27" xfId="1371" applyFont="1" applyBorder="1" applyAlignment="1" applyProtection="1">
      <alignment horizontal="center" vertical="center"/>
      <protection hidden="1"/>
    </xf>
    <xf numFmtId="0" fontId="50" fillId="0" borderId="49" xfId="1371" applyFont="1" applyBorder="1" applyAlignment="1" applyProtection="1">
      <alignment horizontal="center" vertical="center"/>
      <protection hidden="1"/>
    </xf>
    <xf numFmtId="2" fontId="12" fillId="50" borderId="80" xfId="1495" applyNumberFormat="1" applyFont="1" applyFill="1" applyBorder="1" applyAlignment="1" applyProtection="1">
      <alignment horizontal="center" vertical="center" wrapText="1"/>
      <protection locked="0" hidden="1"/>
    </xf>
    <xf numFmtId="2" fontId="12" fillId="50" borderId="63" xfId="1495" applyNumberFormat="1" applyFont="1" applyFill="1" applyBorder="1" applyAlignment="1" applyProtection="1">
      <alignment horizontal="center" vertical="center" wrapText="1"/>
      <protection locked="0" hidden="1"/>
    </xf>
    <xf numFmtId="2" fontId="12" fillId="50" borderId="64" xfId="1495" applyNumberFormat="1" applyFont="1" applyFill="1" applyBorder="1" applyAlignment="1" applyProtection="1">
      <alignment horizontal="center" vertical="center" wrapText="1"/>
      <protection locked="0" hidden="1"/>
    </xf>
    <xf numFmtId="167" fontId="12" fillId="50" borderId="74" xfId="1250" applyFont="1" applyFill="1" applyBorder="1" applyAlignment="1" applyProtection="1">
      <alignment horizontal="center" vertical="center" wrapText="1"/>
      <protection locked="0" hidden="1"/>
    </xf>
    <xf numFmtId="167" fontId="12" fillId="50" borderId="35" xfId="1250" applyFont="1" applyFill="1" applyBorder="1" applyAlignment="1" applyProtection="1">
      <alignment horizontal="center" vertical="center" wrapText="1"/>
      <protection locked="0" hidden="1"/>
    </xf>
    <xf numFmtId="167" fontId="12" fillId="50" borderId="19" xfId="1250" applyFont="1" applyFill="1" applyBorder="1" applyAlignment="1" applyProtection="1">
      <alignment horizontal="center" vertical="center" wrapText="1"/>
      <protection locked="0" hidden="1"/>
    </xf>
    <xf numFmtId="167" fontId="9" fillId="50" borderId="74" xfId="1250" applyFont="1" applyFill="1" applyBorder="1" applyAlignment="1" applyProtection="1">
      <alignment horizontal="center" vertical="center" wrapText="1"/>
      <protection locked="0" hidden="1"/>
    </xf>
    <xf numFmtId="167" fontId="9" fillId="50" borderId="35"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12" fillId="0" borderId="71" xfId="1371" applyFont="1" applyBorder="1" applyAlignment="1" applyProtection="1">
      <alignment horizontal="center" vertical="center" wrapText="1"/>
      <protection locked="0" hidden="1"/>
    </xf>
    <xf numFmtId="0" fontId="12" fillId="0" borderId="72" xfId="1371" applyFont="1" applyBorder="1" applyAlignment="1" applyProtection="1">
      <alignment horizontal="center" vertical="center" wrapText="1"/>
      <protection locked="0" hidden="1"/>
    </xf>
    <xf numFmtId="0" fontId="12" fillId="0" borderId="66" xfId="1371" applyFont="1" applyBorder="1" applyAlignment="1" applyProtection="1">
      <alignment horizontal="center" vertical="center" wrapText="1"/>
      <protection locked="0" hidden="1"/>
    </xf>
    <xf numFmtId="0" fontId="12" fillId="0" borderId="67" xfId="1371" applyFont="1" applyBorder="1" applyAlignment="1" applyProtection="1">
      <alignment horizontal="center" vertical="center" wrapText="1"/>
      <protection locked="0" hidden="1"/>
    </xf>
    <xf numFmtId="0" fontId="8" fillId="61" borderId="79"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71" xfId="1371" applyFont="1" applyFill="1" applyBorder="1" applyAlignment="1" applyProtection="1">
      <alignment horizontal="center" vertical="center" wrapText="1"/>
      <protection locked="0" hidden="1"/>
    </xf>
    <xf numFmtId="0" fontId="8" fillId="61" borderId="72" xfId="1371" applyFont="1" applyFill="1" applyBorder="1" applyAlignment="1" applyProtection="1">
      <alignment horizontal="center" vertical="center" wrapText="1"/>
      <protection locked="0" hidden="1"/>
    </xf>
    <xf numFmtId="0" fontId="70" fillId="50" borderId="75" xfId="1371" applyFont="1" applyFill="1" applyBorder="1" applyAlignment="1" applyProtection="1">
      <alignment horizontal="justify" vertical="center" wrapText="1"/>
      <protection locked="0" hidden="1"/>
    </xf>
    <xf numFmtId="0" fontId="70" fillId="50" borderId="76" xfId="1371" applyFont="1" applyFill="1" applyBorder="1" applyAlignment="1" applyProtection="1">
      <alignment horizontal="justify" vertical="center" wrapText="1"/>
      <protection locked="0" hidden="1"/>
    </xf>
    <xf numFmtId="0" fontId="70" fillId="50" borderId="78" xfId="1371" applyFont="1" applyFill="1" applyBorder="1" applyAlignment="1" applyProtection="1">
      <alignment horizontal="justify" vertical="center" wrapText="1"/>
      <protection locked="0" hidden="1"/>
    </xf>
    <xf numFmtId="0" fontId="5" fillId="50" borderId="75" xfId="1371" applyFont="1" applyFill="1" applyBorder="1" applyAlignment="1" applyProtection="1">
      <alignment horizontal="justify" vertical="center" wrapText="1"/>
      <protection locked="0" hidden="1"/>
    </xf>
    <xf numFmtId="0" fontId="5" fillId="50" borderId="76" xfId="1371" applyFont="1" applyFill="1" applyBorder="1" applyAlignment="1" applyProtection="1">
      <alignment horizontal="justify" vertical="center" wrapText="1"/>
      <protection locked="0" hidden="1"/>
    </xf>
    <xf numFmtId="0" fontId="5" fillId="50" borderId="78" xfId="1371" applyFont="1" applyFill="1" applyBorder="1" applyAlignment="1" applyProtection="1">
      <alignment horizontal="justify" vertical="center" wrapText="1"/>
      <protection locked="0" hidden="1"/>
    </xf>
    <xf numFmtId="0" fontId="75" fillId="0" borderId="29" xfId="0" applyFont="1" applyBorder="1" applyAlignment="1" applyProtection="1">
      <alignment horizontal="center" vertical="center" wrapText="1"/>
      <protection locked="0" hidden="1"/>
    </xf>
    <xf numFmtId="14" fontId="5" fillId="50" borderId="75" xfId="1371" applyNumberFormat="1" applyFont="1" applyFill="1" applyBorder="1" applyAlignment="1" applyProtection="1">
      <alignment horizontal="center" vertical="center" wrapText="1"/>
      <protection hidden="1"/>
    </xf>
    <xf numFmtId="0" fontId="5" fillId="50" borderId="76" xfId="1371" applyFont="1" applyFill="1" applyBorder="1" applyAlignment="1" applyProtection="1">
      <alignment horizontal="center" vertical="center" wrapText="1"/>
      <protection hidden="1"/>
    </xf>
    <xf numFmtId="0" fontId="5" fillId="50" borderId="77" xfId="1371" applyFont="1" applyFill="1" applyBorder="1" applyAlignment="1" applyProtection="1">
      <alignment horizontal="center" vertical="center" wrapText="1"/>
      <protection hidden="1"/>
    </xf>
    <xf numFmtId="175" fontId="5" fillId="50" borderId="75" xfId="1496" applyNumberFormat="1" applyFont="1" applyFill="1" applyBorder="1" applyAlignment="1" applyProtection="1">
      <alignment horizontal="center" vertical="center" wrapText="1"/>
      <protection hidden="1"/>
    </xf>
    <xf numFmtId="175" fontId="5" fillId="50" borderId="76" xfId="1496" applyNumberFormat="1" applyFont="1" applyFill="1" applyBorder="1" applyAlignment="1" applyProtection="1">
      <alignment horizontal="center" vertical="center" wrapText="1"/>
      <protection hidden="1"/>
    </xf>
    <xf numFmtId="175" fontId="5" fillId="50" borderId="78" xfId="1496" applyNumberFormat="1" applyFont="1" applyFill="1" applyBorder="1" applyAlignment="1" applyProtection="1">
      <alignment horizontal="center" vertical="center" wrapText="1"/>
      <protection hidden="1"/>
    </xf>
    <xf numFmtId="0" fontId="5" fillId="50" borderId="75" xfId="1371" applyFont="1" applyFill="1" applyBorder="1" applyAlignment="1" applyProtection="1">
      <alignment horizontal="justify" vertical="center" wrapText="1"/>
      <protection hidden="1"/>
    </xf>
    <xf numFmtId="0" fontId="5" fillId="50" borderId="76" xfId="1371" applyFont="1" applyFill="1" applyBorder="1" applyAlignment="1" applyProtection="1">
      <alignment horizontal="justify" vertical="center" wrapText="1"/>
      <protection hidden="1"/>
    </xf>
    <xf numFmtId="0" fontId="5" fillId="50" borderId="77" xfId="1371" applyFont="1" applyFill="1" applyBorder="1" applyAlignment="1" applyProtection="1">
      <alignment horizontal="justify" vertical="center" wrapText="1"/>
      <protection hidden="1"/>
    </xf>
    <xf numFmtId="0" fontId="5" fillId="50" borderId="75" xfId="1371" applyFont="1" applyFill="1" applyBorder="1" applyAlignment="1" applyProtection="1">
      <alignment horizontal="center" vertical="center" wrapText="1"/>
      <protection hidden="1"/>
    </xf>
    <xf numFmtId="0" fontId="5" fillId="50" borderId="78" xfId="1371" applyFont="1" applyFill="1" applyBorder="1" applyAlignment="1" applyProtection="1">
      <alignment horizontal="center" vertical="center" wrapText="1"/>
      <protection hidden="1"/>
    </xf>
    <xf numFmtId="14" fontId="5" fillId="50" borderId="76" xfId="1371" applyNumberFormat="1" applyFont="1" applyFill="1" applyBorder="1" applyAlignment="1" applyProtection="1">
      <alignment horizontal="center" vertical="center" wrapText="1"/>
      <protection hidden="1"/>
    </xf>
    <xf numFmtId="14" fontId="5" fillId="50" borderId="77" xfId="1371" applyNumberFormat="1" applyFont="1" applyFill="1" applyBorder="1" applyAlignment="1" applyProtection="1">
      <alignment horizontal="center" vertical="center" wrapText="1"/>
      <protection hidden="1"/>
    </xf>
    <xf numFmtId="0" fontId="5" fillId="50" borderId="82" xfId="1371" applyFont="1" applyFill="1" applyBorder="1" applyAlignment="1" applyProtection="1">
      <alignment horizontal="center" vertical="center"/>
      <protection hidden="1"/>
    </xf>
    <xf numFmtId="0" fontId="5" fillId="50" borderId="83" xfId="1371" applyFont="1" applyFill="1" applyBorder="1" applyAlignment="1" applyProtection="1">
      <alignment horizontal="center" vertical="center"/>
      <protection hidden="1"/>
    </xf>
    <xf numFmtId="0" fontId="5" fillId="50" borderId="84" xfId="1371" applyFont="1" applyFill="1" applyBorder="1" applyAlignment="1" applyProtection="1">
      <alignment horizontal="center" vertical="center"/>
      <protection hidden="1"/>
    </xf>
    <xf numFmtId="2" fontId="9" fillId="50" borderId="80" xfId="1495" applyNumberFormat="1" applyFont="1" applyFill="1" applyBorder="1" applyAlignment="1" applyProtection="1">
      <alignment horizontal="center" vertical="center" wrapText="1"/>
      <protection locked="0" hidden="1"/>
    </xf>
    <xf numFmtId="2" fontId="9" fillId="50" borderId="63" xfId="1495" applyNumberFormat="1" applyFont="1" applyFill="1" applyBorder="1" applyAlignment="1" applyProtection="1">
      <alignment horizontal="center" vertical="center" wrapText="1"/>
      <protection locked="0" hidden="1"/>
    </xf>
    <xf numFmtId="2" fontId="9" fillId="50" borderId="64" xfId="1495" applyNumberFormat="1" applyFont="1" applyFill="1" applyBorder="1" applyAlignment="1" applyProtection="1">
      <alignment horizontal="center" vertical="center" wrapText="1"/>
      <protection locked="0" hidden="1"/>
    </xf>
    <xf numFmtId="0" fontId="70" fillId="50" borderId="110" xfId="1371" applyFont="1" applyFill="1" applyBorder="1" applyAlignment="1" applyProtection="1">
      <alignment horizontal="justify" vertical="center" wrapText="1"/>
      <protection locked="0" hidden="1"/>
    </xf>
    <xf numFmtId="0" fontId="70" fillId="50" borderId="111" xfId="1371" applyFont="1" applyFill="1" applyBorder="1" applyAlignment="1" applyProtection="1">
      <alignment horizontal="justify" vertical="center" wrapText="1"/>
      <protection locked="0" hidden="1"/>
    </xf>
    <xf numFmtId="0" fontId="70" fillId="50" borderId="112" xfId="1371" applyFont="1" applyFill="1" applyBorder="1" applyAlignment="1" applyProtection="1">
      <alignment horizontal="justify" vertical="center" wrapText="1"/>
      <protection locked="0" hidden="1"/>
    </xf>
    <xf numFmtId="0" fontId="5" fillId="50" borderId="110" xfId="1371" applyFont="1" applyFill="1" applyBorder="1" applyAlignment="1" applyProtection="1">
      <alignment horizontal="justify" vertical="center" wrapText="1"/>
      <protection locked="0" hidden="1"/>
    </xf>
    <xf numFmtId="0" fontId="5" fillId="50" borderId="111" xfId="1371" applyFont="1" applyFill="1" applyBorder="1" applyAlignment="1" applyProtection="1">
      <alignment horizontal="justify" vertical="center" wrapText="1"/>
      <protection locked="0" hidden="1"/>
    </xf>
    <xf numFmtId="0" fontId="5" fillId="50" borderId="112" xfId="1371" applyFont="1" applyFill="1" applyBorder="1" applyAlignment="1" applyProtection="1">
      <alignment horizontal="justify" vertical="center" wrapText="1"/>
      <protection locked="0" hidden="1"/>
    </xf>
    <xf numFmtId="0" fontId="9" fillId="0" borderId="71" xfId="1371" applyFont="1" applyBorder="1" applyAlignment="1" applyProtection="1">
      <alignment horizontal="center" vertical="center" wrapText="1"/>
      <protection locked="0" hidden="1"/>
    </xf>
    <xf numFmtId="0" fontId="9" fillId="0" borderId="72"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70" xfId="1371" applyFont="1" applyBorder="1" applyAlignment="1" applyProtection="1">
      <alignment horizontal="center" vertical="center" wrapText="1"/>
      <protection locked="0" hidden="1"/>
    </xf>
    <xf numFmtId="0" fontId="57" fillId="0" borderId="71" xfId="0" applyFont="1" applyBorder="1" applyAlignment="1" applyProtection="1">
      <alignment horizontal="center" vertical="center" wrapText="1"/>
      <protection locked="0" hidden="1"/>
    </xf>
    <xf numFmtId="0" fontId="11" fillId="24" borderId="73" xfId="1371" applyFont="1" applyFill="1" applyBorder="1" applyAlignment="1" applyProtection="1">
      <alignment horizontal="center" vertical="center"/>
      <protection hidden="1"/>
    </xf>
    <xf numFmtId="0" fontId="11" fillId="24" borderId="71" xfId="1371" applyFont="1" applyFill="1" applyBorder="1" applyAlignment="1" applyProtection="1">
      <alignment horizontal="center" vertical="center"/>
      <protection hidden="1"/>
    </xf>
    <xf numFmtId="0" fontId="11" fillId="24" borderId="72" xfId="1371" applyFont="1" applyFill="1" applyBorder="1" applyAlignment="1" applyProtection="1">
      <alignment horizontal="center" vertical="center"/>
      <protection hidden="1"/>
    </xf>
    <xf numFmtId="9" fontId="5" fillId="0" borderId="71" xfId="1496" applyFont="1" applyFill="1" applyBorder="1" applyAlignment="1" applyProtection="1">
      <alignment horizontal="center" vertical="center" wrapText="1"/>
      <protection hidden="1"/>
    </xf>
    <xf numFmtId="49" fontId="5" fillId="0" borderId="71" xfId="1371" applyNumberFormat="1" applyFont="1" applyBorder="1" applyAlignment="1" applyProtection="1">
      <alignment horizontal="center" vertical="center" wrapText="1"/>
      <protection hidden="1"/>
    </xf>
    <xf numFmtId="0" fontId="5" fillId="50" borderId="71" xfId="1371" applyFont="1" applyFill="1" applyBorder="1" applyAlignment="1" applyProtection="1">
      <alignment horizontal="left" vertical="center" wrapText="1"/>
      <protection hidden="1"/>
    </xf>
    <xf numFmtId="0" fontId="5" fillId="50" borderId="72" xfId="1371" applyFont="1" applyFill="1" applyBorder="1" applyAlignment="1" applyProtection="1">
      <alignment horizontal="left" vertical="center" wrapText="1"/>
      <protection hidden="1"/>
    </xf>
    <xf numFmtId="14" fontId="5" fillId="0" borderId="75" xfId="1371" applyNumberFormat="1" applyFont="1" applyBorder="1" applyAlignment="1" applyProtection="1">
      <alignment horizontal="center" vertical="center" wrapText="1"/>
      <protection hidden="1"/>
    </xf>
    <xf numFmtId="0" fontId="5" fillId="0" borderId="77" xfId="1371" applyFont="1" applyBorder="1" applyAlignment="1" applyProtection="1">
      <alignment horizontal="center" vertical="center" wrapText="1"/>
      <protection hidden="1"/>
    </xf>
    <xf numFmtId="176" fontId="5" fillId="24" borderId="75" xfId="1250" applyNumberFormat="1" applyFont="1" applyFill="1" applyBorder="1" applyAlignment="1" applyProtection="1">
      <alignment horizontal="center" vertical="center" wrapText="1"/>
      <protection hidden="1"/>
    </xf>
    <xf numFmtId="176" fontId="5" fillId="24" borderId="76" xfId="1250" applyNumberFormat="1" applyFont="1" applyFill="1" applyBorder="1" applyAlignment="1" applyProtection="1">
      <alignment horizontal="center" vertical="center" wrapText="1"/>
      <protection hidden="1"/>
    </xf>
    <xf numFmtId="176" fontId="5" fillId="24" borderId="78" xfId="1250" applyNumberFormat="1" applyFont="1" applyFill="1" applyBorder="1" applyAlignment="1" applyProtection="1">
      <alignment horizontal="center" vertical="center" wrapText="1"/>
      <protection hidden="1"/>
    </xf>
    <xf numFmtId="0" fontId="77" fillId="0" borderId="71" xfId="1371" applyFont="1" applyBorder="1" applyAlignment="1" applyProtection="1">
      <alignment horizontal="center" vertical="center" wrapText="1"/>
      <protection hidden="1"/>
    </xf>
    <xf numFmtId="0" fontId="77" fillId="0" borderId="72" xfId="1371" applyFont="1" applyBorder="1" applyAlignment="1" applyProtection="1">
      <alignment horizontal="center" vertical="center" wrapText="1"/>
      <protection hidden="1"/>
    </xf>
    <xf numFmtId="14" fontId="5" fillId="0" borderId="76" xfId="1371" applyNumberFormat="1" applyFont="1" applyBorder="1" applyAlignment="1" applyProtection="1">
      <alignment horizontal="center" vertical="center" wrapText="1"/>
      <protection hidden="1"/>
    </xf>
    <xf numFmtId="14" fontId="5" fillId="0" borderId="77" xfId="1371" applyNumberFormat="1" applyFont="1" applyBorder="1" applyAlignment="1" applyProtection="1">
      <alignment horizontal="center" vertical="center" wrapText="1"/>
      <protection hidden="1"/>
    </xf>
    <xf numFmtId="0" fontId="5" fillId="50" borderId="82" xfId="1371" applyFont="1" applyFill="1" applyBorder="1" applyAlignment="1" applyProtection="1">
      <alignment horizontal="center" vertical="center" wrapText="1"/>
      <protection hidden="1"/>
    </xf>
    <xf numFmtId="0" fontId="5" fillId="50" borderId="83" xfId="1371" applyFont="1" applyFill="1" applyBorder="1" applyAlignment="1" applyProtection="1">
      <alignment horizontal="center" vertical="center" wrapText="1"/>
      <protection hidden="1"/>
    </xf>
    <xf numFmtId="0" fontId="5" fillId="50" borderId="84" xfId="1371" applyFont="1" applyFill="1" applyBorder="1" applyAlignment="1" applyProtection="1">
      <alignment horizontal="center" vertical="center" wrapText="1"/>
      <protection hidden="1"/>
    </xf>
    <xf numFmtId="0" fontId="50" fillId="61" borderId="73" xfId="1371" applyFont="1" applyFill="1" applyBorder="1" applyAlignment="1" applyProtection="1">
      <alignment horizontal="center" vertical="center"/>
      <protection hidden="1"/>
    </xf>
    <xf numFmtId="0" fontId="50" fillId="61" borderId="71" xfId="1371" applyFont="1" applyFill="1" applyBorder="1" applyAlignment="1" applyProtection="1">
      <alignment horizontal="center" vertical="center"/>
      <protection hidden="1"/>
    </xf>
    <xf numFmtId="0" fontId="50" fillId="61" borderId="72" xfId="1371" applyFont="1" applyFill="1" applyBorder="1" applyAlignment="1" applyProtection="1">
      <alignment horizontal="center" vertical="center"/>
      <protection hidden="1"/>
    </xf>
    <xf numFmtId="0" fontId="5" fillId="0" borderId="78" xfId="1371" applyFont="1" applyBorder="1" applyAlignment="1" applyProtection="1">
      <alignment horizontal="center" vertical="center"/>
      <protection hidden="1"/>
    </xf>
    <xf numFmtId="0" fontId="5" fillId="0" borderId="71" xfId="1371" applyFont="1" applyBorder="1" applyAlignment="1" applyProtection="1">
      <alignment horizontal="center" vertical="center" wrapText="1"/>
      <protection locked="0" hidden="1"/>
    </xf>
    <xf numFmtId="0" fontId="5" fillId="0" borderId="72" xfId="1371" applyFont="1" applyBorder="1" applyAlignment="1" applyProtection="1">
      <alignment horizontal="center" vertical="center" wrapText="1"/>
      <protection locked="0" hidden="1"/>
    </xf>
    <xf numFmtId="0" fontId="5" fillId="0" borderId="66" xfId="1371" applyFont="1" applyBorder="1" applyAlignment="1" applyProtection="1">
      <alignment horizontal="center" vertical="center" wrapText="1"/>
      <protection locked="0" hidden="1"/>
    </xf>
    <xf numFmtId="0" fontId="5" fillId="0" borderId="67" xfId="1371" applyFont="1" applyBorder="1" applyAlignment="1" applyProtection="1">
      <alignment horizontal="center" vertical="center" wrapText="1"/>
      <protection locked="0" hidden="1"/>
    </xf>
    <xf numFmtId="0" fontId="70" fillId="50" borderId="92" xfId="1371" applyFont="1" applyFill="1" applyBorder="1" applyAlignment="1" applyProtection="1">
      <alignment horizontal="center" vertical="center" wrapText="1"/>
      <protection locked="0" hidden="1"/>
    </xf>
    <xf numFmtId="0" fontId="70" fillId="50" borderId="93" xfId="1371" applyFont="1" applyFill="1" applyBorder="1" applyAlignment="1" applyProtection="1">
      <alignment horizontal="center" vertical="center" wrapText="1"/>
      <protection locked="0" hidden="1"/>
    </xf>
    <xf numFmtId="0" fontId="70" fillId="50" borderId="94" xfId="1371" applyFont="1" applyFill="1" applyBorder="1" applyAlignment="1" applyProtection="1">
      <alignment horizontal="center" vertical="center" wrapText="1"/>
      <protection locked="0" hidden="1"/>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34"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9" fillId="0" borderId="71" xfId="1371" applyFont="1" applyBorder="1" applyAlignment="1" applyProtection="1">
      <alignment horizontal="center" vertical="center" wrapText="1"/>
      <protection hidden="1"/>
    </xf>
    <xf numFmtId="0" fontId="9" fillId="0" borderId="72" xfId="1371" applyFont="1" applyBorder="1" applyAlignment="1" applyProtection="1">
      <alignment horizontal="center" vertical="center" wrapText="1"/>
      <protection hidden="1"/>
    </xf>
    <xf numFmtId="0" fontId="9" fillId="0" borderId="71" xfId="1371" applyFont="1" applyBorder="1" applyAlignment="1" applyProtection="1">
      <alignment horizontal="center" vertical="center"/>
      <protection hidden="1"/>
    </xf>
    <xf numFmtId="0" fontId="9" fillId="50" borderId="71" xfId="1371" applyFont="1" applyFill="1" applyBorder="1" applyAlignment="1" applyProtection="1">
      <alignment horizontal="center" vertical="center" wrapText="1"/>
      <protection hidden="1"/>
    </xf>
    <xf numFmtId="0" fontId="9" fillId="50" borderId="72" xfId="1371" applyFont="1" applyFill="1" applyBorder="1" applyAlignment="1" applyProtection="1">
      <alignment horizontal="center" vertical="center" wrapText="1"/>
      <protection hidden="1"/>
    </xf>
    <xf numFmtId="1" fontId="9" fillId="0" borderId="71" xfId="1273" applyNumberFormat="1" applyFont="1" applyFill="1" applyBorder="1" applyAlignment="1" applyProtection="1">
      <alignment horizontal="center" vertical="center" wrapText="1"/>
      <protection hidden="1"/>
    </xf>
    <xf numFmtId="1" fontId="9" fillId="0" borderId="72" xfId="1273" applyNumberFormat="1" applyFont="1" applyFill="1" applyBorder="1" applyAlignment="1" applyProtection="1">
      <alignment horizontal="center" vertical="center" wrapText="1"/>
      <protection hidden="1"/>
    </xf>
    <xf numFmtId="9" fontId="9" fillId="0" borderId="71" xfId="1496" applyFont="1" applyFill="1" applyBorder="1" applyAlignment="1" applyProtection="1">
      <alignment horizontal="center" vertical="center"/>
      <protection hidden="1"/>
    </xf>
    <xf numFmtId="0" fontId="9" fillId="0" borderId="71" xfId="1496" applyNumberFormat="1" applyFont="1" applyFill="1" applyBorder="1" applyAlignment="1" applyProtection="1">
      <alignment horizontal="center" vertical="center" wrapText="1"/>
      <protection hidden="1"/>
    </xf>
    <xf numFmtId="0" fontId="9" fillId="0" borderId="72" xfId="1496" applyNumberFormat="1" applyFont="1" applyFill="1" applyBorder="1" applyAlignment="1" applyProtection="1">
      <alignment horizontal="center" vertical="center" wrapText="1"/>
      <protection hidden="1"/>
    </xf>
    <xf numFmtId="0" fontId="9" fillId="0" borderId="72" xfId="1371" applyFont="1" applyBorder="1" applyAlignment="1" applyProtection="1">
      <alignment horizontal="center" vertical="center"/>
      <protection hidden="1"/>
    </xf>
    <xf numFmtId="0" fontId="8" fillId="50" borderId="71" xfId="1371" applyFont="1" applyFill="1" applyBorder="1" applyAlignment="1" applyProtection="1">
      <alignment horizontal="center" vertical="center" wrapText="1"/>
      <protection hidden="1"/>
    </xf>
    <xf numFmtId="0" fontId="9" fillId="50" borderId="71" xfId="1371" applyFont="1" applyFill="1" applyBorder="1" applyAlignment="1" applyProtection="1">
      <alignment horizontal="center" vertical="center"/>
      <protection hidden="1"/>
    </xf>
    <xf numFmtId="0" fontId="9" fillId="50" borderId="72" xfId="1371" applyFont="1" applyFill="1" applyBorder="1" applyAlignment="1" applyProtection="1">
      <alignment horizontal="center" vertical="center"/>
      <protection hidden="1"/>
    </xf>
    <xf numFmtId="49" fontId="9" fillId="0" borderId="71" xfId="1371" applyNumberFormat="1" applyFont="1" applyBorder="1" applyAlignment="1" applyProtection="1">
      <alignment horizontal="center" vertical="center"/>
      <protection hidden="1"/>
    </xf>
    <xf numFmtId="0" fontId="9" fillId="0" borderId="71" xfId="1371" applyFont="1" applyBorder="1" applyAlignment="1" applyProtection="1">
      <alignment horizontal="left" vertical="center" wrapText="1"/>
      <protection hidden="1"/>
    </xf>
    <xf numFmtId="0" fontId="9" fillId="0" borderId="72" xfId="1371" applyFont="1" applyBorder="1" applyAlignment="1" applyProtection="1">
      <alignment horizontal="left" vertical="center" wrapText="1"/>
      <protection hidden="1"/>
    </xf>
    <xf numFmtId="14" fontId="9" fillId="0" borderId="75" xfId="1371" applyNumberFormat="1" applyFont="1" applyBorder="1" applyAlignment="1" applyProtection="1">
      <alignment horizontal="center" vertical="center" wrapText="1"/>
      <protection hidden="1"/>
    </xf>
    <xf numFmtId="0" fontId="9" fillId="0" borderId="76" xfId="1371" applyFont="1" applyBorder="1" applyAlignment="1" applyProtection="1">
      <alignment horizontal="center" vertical="center" wrapText="1"/>
      <protection hidden="1"/>
    </xf>
    <xf numFmtId="0" fontId="9" fillId="0" borderId="77" xfId="1371" applyFont="1" applyBorder="1" applyAlignment="1" applyProtection="1">
      <alignment horizontal="center" vertical="center" wrapText="1"/>
      <protection hidden="1"/>
    </xf>
    <xf numFmtId="171" fontId="9" fillId="24" borderId="75" xfId="1250" applyNumberFormat="1" applyFont="1" applyFill="1" applyBorder="1" applyAlignment="1" applyProtection="1">
      <alignment horizontal="center" vertical="center" wrapText="1"/>
      <protection hidden="1"/>
    </xf>
    <xf numFmtId="171" fontId="9" fillId="24" borderId="76" xfId="1250" applyNumberFormat="1" applyFont="1" applyFill="1" applyBorder="1" applyAlignment="1" applyProtection="1">
      <alignment horizontal="center" vertical="center" wrapText="1"/>
      <protection hidden="1"/>
    </xf>
    <xf numFmtId="171" fontId="9" fillId="24" borderId="78" xfId="1250" applyNumberFormat="1" applyFont="1" applyFill="1" applyBorder="1" applyAlignment="1" applyProtection="1">
      <alignment horizontal="center" vertical="center" wrapText="1"/>
      <protection hidden="1"/>
    </xf>
    <xf numFmtId="0" fontId="14" fillId="0" borderId="71" xfId="1371" applyFont="1" applyBorder="1" applyAlignment="1" applyProtection="1">
      <alignment horizontal="center" vertical="center"/>
      <protection hidden="1"/>
    </xf>
    <xf numFmtId="0" fontId="14" fillId="0" borderId="72" xfId="1371" applyFont="1" applyBorder="1" applyAlignment="1" applyProtection="1">
      <alignment horizontal="center" vertical="center"/>
      <protection hidden="1"/>
    </xf>
    <xf numFmtId="0" fontId="9" fillId="0" borderId="75" xfId="1371" applyFont="1" applyBorder="1" applyAlignment="1" applyProtection="1">
      <alignment horizontal="center" vertical="center"/>
      <protection hidden="1"/>
    </xf>
    <xf numFmtId="0" fontId="9" fillId="0" borderId="76" xfId="1371" applyFont="1" applyBorder="1" applyAlignment="1" applyProtection="1">
      <alignment horizontal="center" vertical="center"/>
      <protection hidden="1"/>
    </xf>
    <xf numFmtId="0" fontId="9" fillId="0" borderId="77" xfId="1371" applyFont="1" applyBorder="1" applyAlignment="1" applyProtection="1">
      <alignment horizontal="center" vertical="center"/>
      <protection hidden="1"/>
    </xf>
    <xf numFmtId="0" fontId="9" fillId="0" borderId="75" xfId="1371" applyFont="1" applyBorder="1" applyAlignment="1" applyProtection="1">
      <alignment horizontal="justify" vertical="center" wrapText="1"/>
      <protection hidden="1"/>
    </xf>
    <xf numFmtId="0" fontId="9" fillId="0" borderId="76" xfId="1371" applyFont="1" applyBorder="1" applyAlignment="1" applyProtection="1">
      <alignment horizontal="justify" vertical="center" wrapText="1"/>
      <protection hidden="1"/>
    </xf>
    <xf numFmtId="0" fontId="9" fillId="0" borderId="77" xfId="1371" applyFont="1" applyBorder="1" applyAlignment="1" applyProtection="1">
      <alignment horizontal="justify" vertical="center" wrapText="1"/>
      <protection hidden="1"/>
    </xf>
    <xf numFmtId="0" fontId="9" fillId="0" borderId="75" xfId="1371" applyFont="1" applyBorder="1" applyAlignment="1" applyProtection="1">
      <alignment horizontal="center" vertical="center" wrapText="1"/>
      <protection hidden="1"/>
    </xf>
    <xf numFmtId="0" fontId="9" fillId="0" borderId="78" xfId="1371" applyFont="1" applyBorder="1" applyAlignment="1" applyProtection="1">
      <alignment horizontal="center" vertical="center" wrapText="1"/>
      <protection hidden="1"/>
    </xf>
    <xf numFmtId="14" fontId="9" fillId="0" borderId="76" xfId="1371" applyNumberFormat="1" applyFont="1" applyBorder="1" applyAlignment="1" applyProtection="1">
      <alignment horizontal="center" vertical="center" wrapText="1"/>
      <protection hidden="1"/>
    </xf>
    <xf numFmtId="14" fontId="9" fillId="0" borderId="77" xfId="1371" applyNumberFormat="1" applyFont="1" applyBorder="1" applyAlignment="1" applyProtection="1">
      <alignment horizontal="center" vertical="center" wrapText="1"/>
      <protection hidden="1"/>
    </xf>
    <xf numFmtId="0" fontId="54" fillId="50" borderId="20" xfId="1371" applyFont="1" applyFill="1" applyBorder="1" applyAlignment="1" applyProtection="1">
      <alignment horizontal="justify" vertical="center" wrapText="1"/>
      <protection locked="0" hidden="1"/>
    </xf>
    <xf numFmtId="0" fontId="54" fillId="50" borderId="32" xfId="1371" applyFont="1" applyFill="1" applyBorder="1" applyAlignment="1" applyProtection="1">
      <alignment horizontal="justify" vertical="center" wrapText="1"/>
      <protection locked="0" hidden="1"/>
    </xf>
    <xf numFmtId="0" fontId="54" fillId="50" borderId="46" xfId="1371" applyFont="1" applyFill="1" applyBorder="1" applyAlignment="1" applyProtection="1">
      <alignment horizontal="justify" vertical="center" wrapText="1"/>
      <protection locked="0" hidden="1"/>
    </xf>
    <xf numFmtId="0" fontId="54" fillId="0" borderId="101" xfId="1371" applyFont="1" applyBorder="1" applyAlignment="1" applyProtection="1">
      <alignment horizontal="justify" vertical="center" wrapText="1"/>
      <protection locked="0" hidden="1"/>
    </xf>
    <xf numFmtId="0" fontId="54" fillId="0" borderId="102" xfId="1371" applyFont="1" applyBorder="1" applyAlignment="1" applyProtection="1">
      <alignment horizontal="justify" vertical="center" wrapText="1"/>
      <protection locked="0" hidden="1"/>
    </xf>
    <xf numFmtId="0" fontId="54" fillId="0" borderId="103" xfId="1371" applyFont="1" applyBorder="1" applyAlignment="1" applyProtection="1">
      <alignment horizontal="justify" vertical="center" wrapText="1"/>
      <protection locked="0" hidden="1"/>
    </xf>
    <xf numFmtId="0" fontId="51" fillId="0" borderId="101" xfId="1371" applyFont="1" applyBorder="1" applyAlignment="1" applyProtection="1">
      <alignment horizontal="justify" vertical="center" wrapText="1"/>
      <protection locked="0" hidden="1"/>
    </xf>
    <xf numFmtId="0" fontId="51" fillId="0" borderId="102" xfId="1371" applyFont="1" applyBorder="1" applyAlignment="1" applyProtection="1">
      <alignment horizontal="justify" vertical="center" wrapText="1"/>
      <protection locked="0" hidden="1"/>
    </xf>
    <xf numFmtId="0" fontId="51" fillId="0" borderId="103" xfId="1371" applyFont="1" applyBorder="1" applyAlignment="1" applyProtection="1">
      <alignment horizontal="justify" vertical="center" wrapText="1"/>
      <protection locked="0" hidden="1"/>
    </xf>
    <xf numFmtId="0" fontId="9" fillId="0" borderId="101" xfId="1371" applyFont="1" applyBorder="1" applyAlignment="1" applyProtection="1">
      <alignment horizontal="justify" vertical="center" wrapText="1"/>
      <protection locked="0" hidden="1"/>
    </xf>
    <xf numFmtId="0" fontId="9" fillId="0" borderId="102" xfId="1371" applyFont="1" applyBorder="1" applyAlignment="1" applyProtection="1">
      <alignment horizontal="justify" vertical="center" wrapText="1"/>
      <protection locked="0" hidden="1"/>
    </xf>
    <xf numFmtId="0" fontId="9" fillId="0" borderId="103" xfId="1371" applyFont="1" applyBorder="1" applyAlignment="1" applyProtection="1">
      <alignment horizontal="justify" vertical="center" wrapText="1"/>
      <protection locked="0" hidden="1"/>
    </xf>
    <xf numFmtId="0" fontId="9" fillId="50" borderId="82" xfId="1371" applyFont="1" applyFill="1" applyBorder="1" applyAlignment="1" applyProtection="1">
      <alignment horizontal="center" vertical="center"/>
      <protection hidden="1"/>
    </xf>
    <xf numFmtId="0" fontId="9" fillId="50" borderId="83" xfId="1371" applyFont="1" applyFill="1" applyBorder="1" applyAlignment="1" applyProtection="1">
      <alignment horizontal="center" vertical="center"/>
      <protection hidden="1"/>
    </xf>
    <xf numFmtId="0" fontId="9" fillId="50" borderId="84" xfId="1371" applyFont="1" applyFill="1" applyBorder="1" applyAlignment="1" applyProtection="1">
      <alignment horizontal="center" vertical="center"/>
      <protection hidden="1"/>
    </xf>
    <xf numFmtId="167" fontId="9" fillId="50" borderId="80" xfId="1250" applyFont="1" applyFill="1" applyBorder="1" applyAlignment="1" applyProtection="1">
      <alignment horizontal="center" vertical="center" wrapText="1"/>
      <protection locked="0" hidden="1"/>
    </xf>
    <xf numFmtId="167" fontId="9" fillId="50" borderId="63" xfId="1250" applyFont="1" applyFill="1" applyBorder="1" applyAlignment="1" applyProtection="1">
      <alignment horizontal="center" vertical="center" wrapText="1"/>
      <protection locked="0" hidden="1"/>
    </xf>
    <xf numFmtId="167" fontId="9" fillId="50" borderId="64" xfId="1250" applyFont="1" applyFill="1" applyBorder="1" applyAlignment="1" applyProtection="1">
      <alignment horizontal="center" vertical="center" wrapText="1"/>
      <protection locked="0" hidden="1"/>
    </xf>
    <xf numFmtId="0" fontId="9" fillId="0" borderId="110" xfId="1371" applyFont="1" applyBorder="1" applyAlignment="1" applyProtection="1">
      <alignment horizontal="center" vertical="center"/>
      <protection hidden="1"/>
    </xf>
    <xf numFmtId="0" fontId="9" fillId="0" borderId="111" xfId="1371" applyFont="1" applyBorder="1" applyAlignment="1" applyProtection="1">
      <alignment horizontal="center" vertical="center"/>
      <protection hidden="1"/>
    </xf>
    <xf numFmtId="0" fontId="9" fillId="0" borderId="112" xfId="1371" applyFont="1" applyBorder="1" applyAlignment="1" applyProtection="1">
      <alignment horizontal="center" vertical="center"/>
      <protection hidden="1"/>
    </xf>
    <xf numFmtId="0" fontId="9" fillId="0" borderId="108" xfId="1371" applyFont="1" applyBorder="1" applyAlignment="1" applyProtection="1">
      <alignment horizontal="center" vertical="center" wrapText="1"/>
      <protection locked="0" hidden="1"/>
    </xf>
    <xf numFmtId="0" fontId="9" fillId="0" borderId="109" xfId="1371" applyFont="1" applyBorder="1" applyAlignment="1" applyProtection="1">
      <alignment horizontal="center" vertical="center" wrapText="1"/>
      <protection locked="0" hidden="1"/>
    </xf>
    <xf numFmtId="0" fontId="9" fillId="0" borderId="31" xfId="1371" applyFont="1" applyBorder="1" applyAlignment="1" applyProtection="1">
      <alignment horizontal="center" vertical="center" wrapText="1"/>
      <protection locked="0" hidden="1"/>
    </xf>
    <xf numFmtId="0" fontId="9" fillId="0" borderId="67" xfId="1371" applyFont="1" applyBorder="1" applyAlignment="1" applyProtection="1">
      <alignment horizontal="center" vertical="center" wrapText="1"/>
      <protection locked="0" hidden="1"/>
    </xf>
    <xf numFmtId="0" fontId="11" fillId="24" borderId="42" xfId="1371" applyFont="1" applyFill="1" applyBorder="1" applyAlignment="1" applyProtection="1">
      <alignment horizontal="center" vertical="center"/>
      <protection hidden="1"/>
    </xf>
    <xf numFmtId="0" fontId="11" fillId="24" borderId="29" xfId="1371" applyFont="1" applyFill="1" applyBorder="1" applyAlignment="1" applyProtection="1">
      <alignment horizontal="center" vertical="center"/>
      <protection hidden="1"/>
    </xf>
    <xf numFmtId="0" fontId="11" fillId="24" borderId="30" xfId="1371" applyFont="1" applyFill="1" applyBorder="1" applyAlignment="1" applyProtection="1">
      <alignment horizontal="center" vertical="center"/>
      <protection hidden="1"/>
    </xf>
    <xf numFmtId="0" fontId="5" fillId="0" borderId="72" xfId="1371" applyFont="1" applyBorder="1" applyAlignment="1" applyProtection="1">
      <alignment horizontal="center" vertical="center"/>
      <protection hidden="1"/>
    </xf>
    <xf numFmtId="0" fontId="70" fillId="0" borderId="71" xfId="1371" applyFont="1" applyBorder="1" applyAlignment="1" applyProtection="1">
      <alignment horizontal="left" vertical="center" wrapText="1"/>
      <protection hidden="1"/>
    </xf>
    <xf numFmtId="0" fontId="78" fillId="0" borderId="71" xfId="1371" applyFont="1" applyBorder="1" applyAlignment="1" applyProtection="1">
      <alignment horizontal="left" vertical="center" wrapText="1"/>
      <protection hidden="1"/>
    </xf>
    <xf numFmtId="0" fontId="78" fillId="0" borderId="72" xfId="1371" applyFont="1" applyBorder="1" applyAlignment="1" applyProtection="1">
      <alignment horizontal="left" vertical="center" wrapText="1"/>
      <protection hidden="1"/>
    </xf>
    <xf numFmtId="0" fontId="5" fillId="0" borderId="75" xfId="1371" applyFont="1" applyBorder="1" applyAlignment="1" applyProtection="1">
      <alignment horizontal="left" vertical="center" wrapText="1"/>
      <protection hidden="1"/>
    </xf>
    <xf numFmtId="0" fontId="5" fillId="0" borderId="76" xfId="1371" applyFont="1" applyBorder="1" applyAlignment="1" applyProtection="1">
      <alignment horizontal="left" vertical="center" wrapText="1"/>
      <protection hidden="1"/>
    </xf>
    <xf numFmtId="0" fontId="5" fillId="0" borderId="78" xfId="1371" applyFont="1" applyBorder="1" applyAlignment="1" applyProtection="1">
      <alignment horizontal="left" vertical="center" wrapText="1"/>
      <protection hidden="1"/>
    </xf>
    <xf numFmtId="0" fontId="54" fillId="50" borderId="92" xfId="1371" applyFont="1" applyFill="1" applyBorder="1" applyAlignment="1" applyProtection="1">
      <alignment horizontal="center" vertical="center" wrapText="1"/>
      <protection locked="0" hidden="1"/>
    </xf>
    <xf numFmtId="0" fontId="54" fillId="50" borderId="32" xfId="1371" applyFont="1" applyFill="1" applyBorder="1" applyAlignment="1" applyProtection="1">
      <alignment horizontal="center" vertical="center" wrapText="1"/>
      <protection locked="0" hidden="1"/>
    </xf>
    <xf numFmtId="0" fontId="54" fillId="50" borderId="94" xfId="1371" applyFont="1" applyFill="1" applyBorder="1" applyAlignment="1" applyProtection="1">
      <alignment horizontal="center" vertical="center" wrapText="1"/>
      <protection locked="0" hidden="1"/>
    </xf>
    <xf numFmtId="0" fontId="5" fillId="0" borderId="68" xfId="1371" applyFont="1" applyBorder="1" applyAlignment="1" applyProtection="1">
      <alignment horizontal="center" vertical="center" wrapText="1"/>
      <protection locked="0" hidden="1"/>
    </xf>
    <xf numFmtId="0" fontId="5" fillId="0" borderId="69" xfId="1371" applyFont="1" applyBorder="1" applyAlignment="1" applyProtection="1">
      <alignment horizontal="center" vertical="center" wrapText="1"/>
      <protection locked="0" hidden="1"/>
    </xf>
    <xf numFmtId="0" fontId="5" fillId="0" borderId="70" xfId="1371" applyFont="1" applyBorder="1" applyAlignment="1" applyProtection="1">
      <alignment horizontal="center" vertical="center" wrapText="1"/>
      <protection locked="0" hidden="1"/>
    </xf>
    <xf numFmtId="0" fontId="5" fillId="0" borderId="75" xfId="1371" applyFont="1" applyFill="1" applyBorder="1" applyAlignment="1" applyProtection="1">
      <alignment horizontal="justify" vertical="center" wrapText="1"/>
      <protection hidden="1"/>
    </xf>
    <xf numFmtId="0" fontId="5" fillId="0" borderId="76" xfId="1371" applyFont="1" applyFill="1" applyBorder="1" applyAlignment="1" applyProtection="1">
      <alignment horizontal="justify" vertical="center" wrapText="1"/>
      <protection hidden="1"/>
    </xf>
    <xf numFmtId="0" fontId="5" fillId="0" borderId="77" xfId="1371" applyFont="1" applyFill="1" applyBorder="1" applyAlignment="1" applyProtection="1">
      <alignment horizontal="justify" vertical="center" wrapText="1"/>
      <protection hidden="1"/>
    </xf>
    <xf numFmtId="176" fontId="9" fillId="50" borderId="74" xfId="1250" applyNumberFormat="1" applyFont="1" applyFill="1" applyBorder="1" applyAlignment="1" applyProtection="1">
      <alignment horizontal="center" vertical="center" wrapText="1"/>
      <protection locked="0" hidden="1"/>
    </xf>
    <xf numFmtId="176" fontId="9" fillId="50" borderId="35" xfId="1250" applyNumberFormat="1" applyFont="1" applyFill="1" applyBorder="1" applyAlignment="1" applyProtection="1">
      <alignment horizontal="center" vertical="center" wrapText="1"/>
      <protection locked="0" hidden="1"/>
    </xf>
    <xf numFmtId="176" fontId="9" fillId="50" borderId="19" xfId="1250" applyNumberFormat="1" applyFont="1" applyFill="1" applyBorder="1" applyAlignment="1" applyProtection="1">
      <alignment horizontal="center" vertical="center" wrapText="1"/>
      <protection locked="0" hidden="1"/>
    </xf>
    <xf numFmtId="0" fontId="54" fillId="50" borderId="75" xfId="1371" applyFont="1" applyFill="1" applyBorder="1" applyAlignment="1" applyProtection="1">
      <alignment horizontal="justify" vertical="center" wrapText="1"/>
      <protection locked="0" hidden="1"/>
    </xf>
    <xf numFmtId="0" fontId="54" fillId="50" borderId="76" xfId="1371" applyFont="1" applyFill="1" applyBorder="1" applyAlignment="1" applyProtection="1">
      <alignment horizontal="justify" vertical="center" wrapText="1"/>
      <protection locked="0" hidden="1"/>
    </xf>
    <xf numFmtId="0" fontId="54" fillId="50" borderId="78" xfId="1371" applyFont="1" applyFill="1" applyBorder="1" applyAlignment="1" applyProtection="1">
      <alignment horizontal="justify" vertical="center" wrapText="1"/>
      <protection locked="0" hidden="1"/>
    </xf>
    <xf numFmtId="0" fontId="55" fillId="50" borderId="75" xfId="1371" applyFont="1" applyFill="1" applyBorder="1" applyAlignment="1" applyProtection="1">
      <alignment horizontal="justify" vertical="center" wrapText="1"/>
      <protection locked="0" hidden="1"/>
    </xf>
    <xf numFmtId="0" fontId="9" fillId="50" borderId="75" xfId="1371" applyFont="1" applyFill="1" applyBorder="1" applyAlignment="1" applyProtection="1">
      <alignment horizontal="justify" vertical="center" wrapText="1"/>
      <protection locked="0" hidden="1"/>
    </xf>
    <xf numFmtId="0" fontId="9" fillId="50" borderId="76" xfId="1371" applyFont="1" applyFill="1" applyBorder="1" applyAlignment="1" applyProtection="1">
      <alignment horizontal="justify" vertical="center" wrapText="1"/>
      <protection locked="0" hidden="1"/>
    </xf>
    <xf numFmtId="0" fontId="9" fillId="50" borderId="78" xfId="1371" applyFont="1" applyFill="1" applyBorder="1" applyAlignment="1" applyProtection="1">
      <alignment horizontal="justify" vertical="center" wrapText="1"/>
      <protection locked="0" hidden="1"/>
    </xf>
    <xf numFmtId="0" fontId="9" fillId="0" borderId="71" xfId="1371" applyFont="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70" fillId="50" borderId="110" xfId="1371" applyFont="1" applyFill="1" applyBorder="1" applyAlignment="1" applyProtection="1">
      <alignment horizontal="justify" vertical="center" wrapText="1"/>
      <protection locked="0"/>
    </xf>
    <xf numFmtId="0" fontId="70" fillId="50" borderId="111" xfId="1371" applyFont="1" applyFill="1" applyBorder="1" applyAlignment="1" applyProtection="1">
      <alignment horizontal="justify" vertical="center" wrapText="1"/>
      <protection locked="0"/>
    </xf>
    <xf numFmtId="0" fontId="70" fillId="50" borderId="112" xfId="1371" applyFont="1" applyFill="1" applyBorder="1" applyAlignment="1" applyProtection="1">
      <alignment horizontal="justify" vertical="center" wrapText="1"/>
      <protection locked="0"/>
    </xf>
    <xf numFmtId="0" fontId="5" fillId="50" borderId="110" xfId="1371" applyFont="1" applyFill="1" applyBorder="1" applyAlignment="1" applyProtection="1">
      <alignment horizontal="justify" vertical="center" wrapText="1"/>
      <protection locked="0"/>
    </xf>
    <xf numFmtId="0" fontId="5" fillId="50" borderId="111" xfId="1371" applyFont="1" applyFill="1" applyBorder="1" applyAlignment="1" applyProtection="1">
      <alignment horizontal="justify" vertical="center" wrapText="1"/>
      <protection locked="0"/>
    </xf>
    <xf numFmtId="0" fontId="5" fillId="50" borderId="112"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2171">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0 2" xfId="1824" xr:uid="{78780B6A-AEDF-4D6E-962B-2C0FE82E0037}"/>
    <cellStyle name="Cálculo 10 3" xfId="1807" xr:uid="{6AE62029-6943-4600-8FA0-757A581E7F42}"/>
    <cellStyle name="Cálculo 10 4" xfId="2044" xr:uid="{027D5AB2-9931-4472-8BFA-215B7391639A}"/>
    <cellStyle name="Cálculo 10 5" xfId="2077" xr:uid="{2CA82663-3D54-4E78-B27A-92BB3B5D210D}"/>
    <cellStyle name="Cálculo 11" xfId="751" xr:uid="{00000000-0005-0000-0000-0000EF020000}"/>
    <cellStyle name="Cálculo 11 2" xfId="1825" xr:uid="{DB320E6B-7A68-446A-BA29-6DA751666F8D}"/>
    <cellStyle name="Cálculo 11 3" xfId="1808" xr:uid="{713B8B88-AF49-4E96-816D-5C040EF02E2F}"/>
    <cellStyle name="Cálculo 11 4" xfId="2045" xr:uid="{7F2F9E1F-7159-4026-B54E-7FE55B55109E}"/>
    <cellStyle name="Cálculo 11 5" xfId="2076" xr:uid="{7CCECD87-9ABD-48B2-B2C0-E4186345F184}"/>
    <cellStyle name="Cálculo 12" xfId="752" xr:uid="{00000000-0005-0000-0000-0000F0020000}"/>
    <cellStyle name="Cálculo 12 2" xfId="1826" xr:uid="{F9493563-2786-4EB2-8336-00CEC3FCD5BB}"/>
    <cellStyle name="Cálculo 12 3" xfId="1809" xr:uid="{51A69A9D-A358-494F-A8DE-9A1FC387529A}"/>
    <cellStyle name="Cálculo 12 4" xfId="2046" xr:uid="{4E53AF99-5BAF-445A-965D-EB02852BFCEC}"/>
    <cellStyle name="Cálculo 12 5" xfId="2075" xr:uid="{E5DE0628-EB05-4DA5-A456-F5787F86C288}"/>
    <cellStyle name="Cálculo 13" xfId="753" xr:uid="{00000000-0005-0000-0000-0000F1020000}"/>
    <cellStyle name="Cálculo 13 2" xfId="1827" xr:uid="{9AAFE6A5-34EA-45E0-B969-D4A3D5873BE8}"/>
    <cellStyle name="Cálculo 13 3" xfId="1810" xr:uid="{EE9FFC88-901C-43A2-815F-B5C638AFC70D}"/>
    <cellStyle name="Cálculo 13 4" xfId="2047" xr:uid="{1DC0D2FB-03CF-451B-8770-C0B0967C3E6A}"/>
    <cellStyle name="Cálculo 13 5" xfId="2074" xr:uid="{512776C6-3A45-4E8F-86EA-188B4C0C4AFC}"/>
    <cellStyle name="Cálculo 14" xfId="754" xr:uid="{00000000-0005-0000-0000-0000F2020000}"/>
    <cellStyle name="Cálculo 14 2" xfId="1828" xr:uid="{BB0B9F26-3E2E-42EC-B417-E319AA7C336A}"/>
    <cellStyle name="Cálculo 14 3" xfId="1811" xr:uid="{C7791715-FFB0-41EA-B00F-1512505C1417}"/>
    <cellStyle name="Cálculo 14 4" xfId="2048" xr:uid="{BBAF146C-FB5B-42C1-BA1B-A9600425CCF5}"/>
    <cellStyle name="Cálculo 14 5" xfId="2073" xr:uid="{171FF83D-B995-4A87-9FDF-913042E002CC}"/>
    <cellStyle name="Cálculo 15" xfId="755" xr:uid="{00000000-0005-0000-0000-0000F3020000}"/>
    <cellStyle name="Cálculo 15 2" xfId="1829" xr:uid="{107DD418-B796-4E75-B82A-A60C1126C7D4}"/>
    <cellStyle name="Cálculo 15 3" xfId="1812" xr:uid="{CD663483-0067-41EA-8DCB-843BE38A0431}"/>
    <cellStyle name="Cálculo 15 4" xfId="2049" xr:uid="{097E3DED-BA30-40F8-8086-38F60EC87C03}"/>
    <cellStyle name="Cálculo 15 5" xfId="2072" xr:uid="{30098F95-E1E7-4188-ADE3-269D115A0410}"/>
    <cellStyle name="Cálculo 16" xfId="756" xr:uid="{00000000-0005-0000-0000-0000F4020000}"/>
    <cellStyle name="Cálculo 16 2" xfId="1830" xr:uid="{75A36683-5DBD-4E96-84FE-95B8F1550FFC}"/>
    <cellStyle name="Cálculo 16 3" xfId="1813" xr:uid="{726C6989-1546-456B-BA5C-45C46AAA0884}"/>
    <cellStyle name="Cálculo 16 4" xfId="2050" xr:uid="{EB2A7E1E-4D6F-49C1-985F-8BDEC3B447F4}"/>
    <cellStyle name="Cálculo 16 5" xfId="2071" xr:uid="{F5D2315F-CBDC-450D-8869-0F76FE3CCA0D}"/>
    <cellStyle name="Cálculo 17" xfId="757" xr:uid="{00000000-0005-0000-0000-0000F5020000}"/>
    <cellStyle name="Cálculo 17 2" xfId="1831" xr:uid="{325B3C63-421B-4B5B-B93F-170122A34934}"/>
    <cellStyle name="Cálculo 17 3" xfId="1814" xr:uid="{2E4E71FF-231C-4A24-BC8F-42055CA1E473}"/>
    <cellStyle name="Cálculo 17 4" xfId="2051" xr:uid="{FF57E49F-417C-4799-8582-F0CCEB436B7C}"/>
    <cellStyle name="Cálculo 17 5" xfId="2070" xr:uid="{BAE75B39-55BB-4F5D-BE32-4A36E066DF16}"/>
    <cellStyle name="Cálculo 18" xfId="758" xr:uid="{00000000-0005-0000-0000-0000F6020000}"/>
    <cellStyle name="Cálculo 18 2" xfId="1832" xr:uid="{281233E5-EB79-4FDB-8B36-1BAAC2F38FEE}"/>
    <cellStyle name="Cálculo 18 3" xfId="1815" xr:uid="{711CED0D-52AE-4D55-A9F9-AFBB964A4C73}"/>
    <cellStyle name="Cálculo 18 4" xfId="2052" xr:uid="{418911AE-589A-4888-A3FE-47B54448FDBA}"/>
    <cellStyle name="Cálculo 18 5" xfId="2069" xr:uid="{87A65BCE-AC27-4BD0-8334-D455CE2C407A}"/>
    <cellStyle name="Cálculo 2" xfId="759" xr:uid="{00000000-0005-0000-0000-0000F7020000}"/>
    <cellStyle name="Cálculo 2 2" xfId="1833" xr:uid="{FF5F3CB8-22A5-46C3-A522-B165E046484B}"/>
    <cellStyle name="Cálculo 2 3" xfId="1816" xr:uid="{47BAA620-13E7-45ED-89CE-FE9C3A56E521}"/>
    <cellStyle name="Cálculo 2 4" xfId="2053" xr:uid="{332A6BA4-C9B3-4F9E-A12B-42EB47433073}"/>
    <cellStyle name="Cálculo 2 5" xfId="2068" xr:uid="{24005750-8F46-4DBA-8335-BF4AE8D7D64C}"/>
    <cellStyle name="Cálculo 3" xfId="760" xr:uid="{00000000-0005-0000-0000-0000F8020000}"/>
    <cellStyle name="Cálculo 3 2" xfId="1834" xr:uid="{E965FAAA-E260-454C-80EE-90F05FA9DC4A}"/>
    <cellStyle name="Cálculo 3 3" xfId="1817" xr:uid="{03D50D86-D374-4A24-93FD-ADAB24E134C6}"/>
    <cellStyle name="Cálculo 3 4" xfId="2054" xr:uid="{461ECDD3-88D8-4690-94C6-F2FD66ECC09E}"/>
    <cellStyle name="Cálculo 3 5" xfId="2067" xr:uid="{EE41100F-C96A-4ECF-8B95-D62E1CE4749B}"/>
    <cellStyle name="Cálculo 4" xfId="761" xr:uid="{00000000-0005-0000-0000-0000F9020000}"/>
    <cellStyle name="Cálculo 4 2" xfId="1835" xr:uid="{89382473-F070-4ACB-8ADD-AAA8D1A80917}"/>
    <cellStyle name="Cálculo 4 3" xfId="1818" xr:uid="{8074DF8D-DC11-4599-B368-325EE7743A79}"/>
    <cellStyle name="Cálculo 4 4" xfId="2055" xr:uid="{A25E5D88-20FA-4777-8F80-37F1CD8EF489}"/>
    <cellStyle name="Cálculo 4 5" xfId="2066" xr:uid="{FF5ED480-8019-495B-807F-BE58C872174D}"/>
    <cellStyle name="Cálculo 5" xfId="762" xr:uid="{00000000-0005-0000-0000-0000FA020000}"/>
    <cellStyle name="Cálculo 5 2" xfId="1836" xr:uid="{6C4456E4-A316-4034-ABF3-04BA50AAA17E}"/>
    <cellStyle name="Cálculo 5 3" xfId="1819" xr:uid="{5653B08F-57AB-4847-B2A7-15A2FBFD1C03}"/>
    <cellStyle name="Cálculo 5 4" xfId="2056" xr:uid="{80B84301-8E21-4A0A-A553-2C0B10D43863}"/>
    <cellStyle name="Cálculo 5 5" xfId="2065" xr:uid="{D2D26F14-5F97-4440-855B-006D91C93931}"/>
    <cellStyle name="Cálculo 6" xfId="763" xr:uid="{00000000-0005-0000-0000-0000FB020000}"/>
    <cellStyle name="Cálculo 6 2" xfId="1837" xr:uid="{497CE8AA-A0F4-4CB1-A968-E9D3A6E81D7C}"/>
    <cellStyle name="Cálculo 6 3" xfId="1820" xr:uid="{50AD44B3-8FF8-41F0-928C-4289D3C473F5}"/>
    <cellStyle name="Cálculo 6 4" xfId="2057" xr:uid="{BA7A8089-9B28-4D45-A809-D328A055F665}"/>
    <cellStyle name="Cálculo 6 5" xfId="2064" xr:uid="{7A9B0BD7-5909-420F-B962-6C20E8808D80}"/>
    <cellStyle name="Cálculo 7" xfId="764" xr:uid="{00000000-0005-0000-0000-0000FC020000}"/>
    <cellStyle name="Cálculo 7 2" xfId="1838" xr:uid="{7550798C-1BEA-4094-9F8E-0A7CF9202DD3}"/>
    <cellStyle name="Cálculo 7 3" xfId="1821" xr:uid="{0A75FEB7-EB22-44B7-B487-3E1B377DAE70}"/>
    <cellStyle name="Cálculo 7 4" xfId="2058" xr:uid="{E29C5DC4-2DC6-48D6-84C3-5705D8A7B371}"/>
    <cellStyle name="Cálculo 7 5" xfId="2063" xr:uid="{774F0EA2-FEBC-4C5D-A2B1-B79514EB23EC}"/>
    <cellStyle name="Cálculo 8" xfId="765" xr:uid="{00000000-0005-0000-0000-0000FD020000}"/>
    <cellStyle name="Cálculo 8 2" xfId="1839" xr:uid="{B17D0493-043A-42E7-AE91-388B759532B0}"/>
    <cellStyle name="Cálculo 8 3" xfId="1822" xr:uid="{65BAAF88-6E91-442F-8337-2BDD34E269C5}"/>
    <cellStyle name="Cálculo 8 4" xfId="2059" xr:uid="{0B81CBB2-D441-467A-A907-515E1B3A53D6}"/>
    <cellStyle name="Cálculo 8 5" xfId="2062" xr:uid="{58613E34-F49E-457A-8621-BF1DD8E32CE6}"/>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23" xfId="1840" xr:uid="{44C8FFD1-3AD4-46E1-8038-6F5B1B894FB8}"/>
    <cellStyle name="Cálculo 9 24" xfId="1823" xr:uid="{57FF9531-D904-4E7B-BCD2-1BE5614FD9FF}"/>
    <cellStyle name="Cálculo 9 25" xfId="2060" xr:uid="{42DC9F9D-999B-4F45-B9BB-13A2024D36B4}"/>
    <cellStyle name="Cálculo 9 26" xfId="2061" xr:uid="{1B708CD1-1AA9-47D0-BE70-474414CF3E4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0 2" xfId="1858" xr:uid="{36F5F571-586C-4078-8FC4-94BC4B044DAA}"/>
    <cellStyle name="Entrada 10 3" xfId="1841" xr:uid="{D08901E1-A11A-484B-86F4-BF887F618775}"/>
    <cellStyle name="Entrada 10 4" xfId="2078" xr:uid="{839AA819-5080-4924-A828-F0C2B612BC8A}"/>
    <cellStyle name="Entrada 10 5" xfId="2043" xr:uid="{99A74323-EF15-4B0B-AA56-CA31EBB01FDA}"/>
    <cellStyle name="Entrada 11" xfId="1143" xr:uid="{00000000-0005-0000-0000-000079040000}"/>
    <cellStyle name="Entrada 11 2" xfId="1859" xr:uid="{795D8D82-A213-49E7-9670-A2096B17CF7F}"/>
    <cellStyle name="Entrada 11 3" xfId="1842" xr:uid="{4AC070CA-F2C1-42AE-84FC-4711A8A73FE7}"/>
    <cellStyle name="Entrada 11 4" xfId="2079" xr:uid="{56522F8C-9C98-4B08-8C14-9E6B0D64FCF3}"/>
    <cellStyle name="Entrada 11 5" xfId="2042" xr:uid="{EE7229C3-9E86-483F-AF5F-C8CCC115945B}"/>
    <cellStyle name="Entrada 12" xfId="1144" xr:uid="{00000000-0005-0000-0000-00007A040000}"/>
    <cellStyle name="Entrada 12 2" xfId="1860" xr:uid="{1C3BFF1E-A155-4644-95FB-1E379C8FCB85}"/>
    <cellStyle name="Entrada 12 3" xfId="1843" xr:uid="{EFEDBD54-68A1-4D93-A7CD-A509AFF21782}"/>
    <cellStyle name="Entrada 12 4" xfId="2080" xr:uid="{E827625C-9088-4B12-81E6-376803B634ED}"/>
    <cellStyle name="Entrada 12 5" xfId="2041" xr:uid="{68D93C8E-3A81-473E-BEC6-37E372E23454}"/>
    <cellStyle name="Entrada 13" xfId="1145" xr:uid="{00000000-0005-0000-0000-00007B040000}"/>
    <cellStyle name="Entrada 13 2" xfId="1861" xr:uid="{B7042930-4C57-4830-A3E6-1206534D4811}"/>
    <cellStyle name="Entrada 13 3" xfId="1844" xr:uid="{2BACA2FB-7E25-4681-95D3-60C7A1E767C6}"/>
    <cellStyle name="Entrada 13 4" xfId="2081" xr:uid="{B1D5D89B-8E4A-475B-BBD2-14CD1DD2BA98}"/>
    <cellStyle name="Entrada 13 5" xfId="2040" xr:uid="{94E8F2BE-6FCE-414E-8744-D89AB101EE05}"/>
    <cellStyle name="Entrada 14" xfId="1146" xr:uid="{00000000-0005-0000-0000-00007C040000}"/>
    <cellStyle name="Entrada 14 2" xfId="1862" xr:uid="{3AE3CD63-71A0-4DB5-ABD3-041295CEF6B7}"/>
    <cellStyle name="Entrada 14 3" xfId="1845" xr:uid="{93A224D3-7FA9-4B86-A317-A7E485932B08}"/>
    <cellStyle name="Entrada 14 4" xfId="2082" xr:uid="{14C59255-66CD-4AEC-BCF1-7C22048A8369}"/>
    <cellStyle name="Entrada 14 5" xfId="2039" xr:uid="{883924C5-2117-43F9-B35B-C7D653BE85E2}"/>
    <cellStyle name="Entrada 15" xfId="1147" xr:uid="{00000000-0005-0000-0000-00007D040000}"/>
    <cellStyle name="Entrada 15 2" xfId="1863" xr:uid="{37360AE0-6297-4400-955B-432EEFD785BF}"/>
    <cellStyle name="Entrada 15 3" xfId="1846" xr:uid="{431F5F88-55C7-4160-877D-DDA260E4A3F1}"/>
    <cellStyle name="Entrada 15 4" xfId="2083" xr:uid="{7379017A-EBF8-419B-85CB-BE2179424088}"/>
    <cellStyle name="Entrada 15 5" xfId="2038" xr:uid="{F9616113-71AD-4C04-B766-011188A239D8}"/>
    <cellStyle name="Entrada 16" xfId="1148" xr:uid="{00000000-0005-0000-0000-00007E040000}"/>
    <cellStyle name="Entrada 16 2" xfId="1864" xr:uid="{4CAC8E1F-12F4-47FB-B474-3FCDE796CF48}"/>
    <cellStyle name="Entrada 16 3" xfId="1847" xr:uid="{AA7A116C-5E7A-4EFA-8426-5D52C0BDA03D}"/>
    <cellStyle name="Entrada 16 4" xfId="2084" xr:uid="{8412C2B7-D1A0-46E8-BAE0-F10C313B515D}"/>
    <cellStyle name="Entrada 16 5" xfId="2037" xr:uid="{451091F1-4E60-4B06-AB65-1FEFCB3F1CA6}"/>
    <cellStyle name="Entrada 17" xfId="1149" xr:uid="{00000000-0005-0000-0000-00007F040000}"/>
    <cellStyle name="Entrada 17 2" xfId="1865" xr:uid="{B387B93B-4DF2-4E8A-96FF-759B94F7B03C}"/>
    <cellStyle name="Entrada 17 3" xfId="1848" xr:uid="{6DCF479B-95B4-45B0-9D5E-8DE5004B9DB3}"/>
    <cellStyle name="Entrada 17 4" xfId="2085" xr:uid="{E9760E2B-64E8-4D2B-90E7-9B795FBA6654}"/>
    <cellStyle name="Entrada 17 5" xfId="2036" xr:uid="{81F82ED2-755A-4364-91A4-803E1295DBFA}"/>
    <cellStyle name="Entrada 18" xfId="1150" xr:uid="{00000000-0005-0000-0000-000080040000}"/>
    <cellStyle name="Entrada 18 2" xfId="1866" xr:uid="{6A86A692-FFC6-4378-85EC-384E78183847}"/>
    <cellStyle name="Entrada 18 3" xfId="1849" xr:uid="{49C196E5-DCBA-4FFA-82DB-1EF65B4BD556}"/>
    <cellStyle name="Entrada 18 4" xfId="2086" xr:uid="{886A66B7-12F1-4121-A6C2-D59FAE443000}"/>
    <cellStyle name="Entrada 18 5" xfId="2035" xr:uid="{CC661E75-CD53-46C8-A719-02F6EE6DBAD4}"/>
    <cellStyle name="Entrada 2" xfId="1151" xr:uid="{00000000-0005-0000-0000-000081040000}"/>
    <cellStyle name="Entrada 2 2" xfId="1867" xr:uid="{5E6A3AEB-B322-4C48-AABA-AA727702F37A}"/>
    <cellStyle name="Entrada 2 3" xfId="1850" xr:uid="{D6C03E74-A9D1-4DB7-BC88-ABAD9FDD88F1}"/>
    <cellStyle name="Entrada 2 4" xfId="2087" xr:uid="{73A9F604-F861-447F-9230-AB64EE065F8F}"/>
    <cellStyle name="Entrada 2 5" xfId="2034" xr:uid="{A188DA1C-0EEA-4C3B-ABF6-5341553B6CFE}"/>
    <cellStyle name="Entrada 3" xfId="1152" xr:uid="{00000000-0005-0000-0000-000082040000}"/>
    <cellStyle name="Entrada 3 2" xfId="1868" xr:uid="{466F863F-EF6F-4C93-B25A-6133960585E6}"/>
    <cellStyle name="Entrada 3 3" xfId="1851" xr:uid="{FCE62C98-244F-4A99-9161-F08FC44AEDD7}"/>
    <cellStyle name="Entrada 3 4" xfId="2088" xr:uid="{6ABAB19F-CACD-4111-989A-400AFB9792A4}"/>
    <cellStyle name="Entrada 3 5" xfId="2033" xr:uid="{392548E9-E175-45A2-B860-2307E18C3597}"/>
    <cellStyle name="Entrada 4" xfId="1153" xr:uid="{00000000-0005-0000-0000-000083040000}"/>
    <cellStyle name="Entrada 4 2" xfId="1869" xr:uid="{6F691F8F-E226-4966-BD13-91BE6249C396}"/>
    <cellStyle name="Entrada 4 3" xfId="1852" xr:uid="{B735A04D-5FAC-4FD4-AB5F-306799DDE58C}"/>
    <cellStyle name="Entrada 4 4" xfId="2089" xr:uid="{160BCB18-449C-4AA2-853C-0E7C9BD8DB29}"/>
    <cellStyle name="Entrada 4 5" xfId="2032" xr:uid="{1BCF6755-2278-4B52-B434-645E7F9B6391}"/>
    <cellStyle name="Entrada 5" xfId="1154" xr:uid="{00000000-0005-0000-0000-000084040000}"/>
    <cellStyle name="Entrada 5 2" xfId="1870" xr:uid="{B4F4CC2D-00C0-487F-94DB-9C770D285D6F}"/>
    <cellStyle name="Entrada 5 3" xfId="1853" xr:uid="{E3CE766A-2F20-41C6-8B5C-104F4830D309}"/>
    <cellStyle name="Entrada 5 4" xfId="2090" xr:uid="{25128C77-D2A8-4BC5-A87F-D0D871CC3A45}"/>
    <cellStyle name="Entrada 5 5" xfId="2031" xr:uid="{9539623D-F928-4FD3-9566-08874D791FD7}"/>
    <cellStyle name="Entrada 6" xfId="1155" xr:uid="{00000000-0005-0000-0000-000085040000}"/>
    <cellStyle name="Entrada 6 2" xfId="1871" xr:uid="{461402DC-B5E2-4795-BF34-C2533A27B0EC}"/>
    <cellStyle name="Entrada 6 3" xfId="1854" xr:uid="{87FAE260-4485-45DE-8A51-FE5114DE9C6B}"/>
    <cellStyle name="Entrada 6 4" xfId="2091" xr:uid="{80507D83-AB0F-4430-A020-78847FC85967}"/>
    <cellStyle name="Entrada 6 5" xfId="2030" xr:uid="{BC363AB0-3579-4D0F-BA19-438AFD361B86}"/>
    <cellStyle name="Entrada 7" xfId="1156" xr:uid="{00000000-0005-0000-0000-000086040000}"/>
    <cellStyle name="Entrada 7 2" xfId="1872" xr:uid="{E162A9FA-5AEB-46AE-A719-5572C05600B4}"/>
    <cellStyle name="Entrada 7 3" xfId="1855" xr:uid="{C1665ABA-D3BB-4CAA-BC7B-C3A16C486045}"/>
    <cellStyle name="Entrada 7 4" xfId="2092" xr:uid="{5305364E-53BB-4956-91C0-1EC3C60C0B0F}"/>
    <cellStyle name="Entrada 7 5" xfId="2029" xr:uid="{AF371DC9-EEBB-4EAE-A893-D65D0F7DB149}"/>
    <cellStyle name="Entrada 8" xfId="1157" xr:uid="{00000000-0005-0000-0000-000087040000}"/>
    <cellStyle name="Entrada 8 2" xfId="1873" xr:uid="{5D654CC9-3541-4D13-B756-66E7527E73BF}"/>
    <cellStyle name="Entrada 8 3" xfId="1856" xr:uid="{7F31658D-FAAE-4673-993F-63C45921B29B}"/>
    <cellStyle name="Entrada 8 4" xfId="2093" xr:uid="{9A5537A9-26B5-491B-99A9-E1BA89C25F31}"/>
    <cellStyle name="Entrada 8 5" xfId="2028" xr:uid="{4F06BAAE-2885-41C9-8333-42D6E6E8DE42}"/>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23" xfId="1874" xr:uid="{5BAAD37A-8AEE-4A12-B4C0-253F2CDBE1B8}"/>
    <cellStyle name="Entrada 9 24" xfId="1857" xr:uid="{C7010FC3-97FC-4329-94A4-287F3DF9CC4F}"/>
    <cellStyle name="Entrada 9 25" xfId="2094" xr:uid="{8E7E21C6-1CC7-46D5-B375-3AABF3AA2251}"/>
    <cellStyle name="Entrada 9 26" xfId="2027" xr:uid="{78D0BF08-5EA0-43E9-9CC3-53F4E40E07F5}"/>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0] 2 2" xfId="1961" xr:uid="{B47853F5-7A7D-43BF-8D99-157B951EBAD7}"/>
    <cellStyle name="Millares [0] 2 3" xfId="1877" xr:uid="{63F81E90-897B-4400-AB9D-C7A6D018506B}"/>
    <cellStyle name="Millares [0] 2 4" xfId="2097" xr:uid="{9F81908A-46CA-4ABC-BC1B-D704D738F4D8}"/>
    <cellStyle name="Millares [0] 2 5" xfId="2168" xr:uid="{57F2851A-9145-44EC-A220-FA1F74AAF8AD}"/>
    <cellStyle name="Millares 10" xfId="1876" xr:uid="{4306D1E3-7857-4F5B-935C-8085FDF1BC1F}"/>
    <cellStyle name="Millares 11" xfId="1806" xr:uid="{4EC1FB4E-76E9-43C2-B85B-8A204145DA5B}"/>
    <cellStyle name="Millares 12" xfId="1875" xr:uid="{04A79E91-42BB-406F-8B04-B66C23F441D7}"/>
    <cellStyle name="Millares 13" xfId="2096" xr:uid="{6E1E7162-6A60-4675-90B9-84842682C10E}"/>
    <cellStyle name="Millares 14" xfId="2026" xr:uid="{4876762E-2311-47CF-B85D-3C5DE9DC38DB}"/>
    <cellStyle name="Millares 15" xfId="2095" xr:uid="{6BAF4E14-4767-4B6B-AF95-24F2D448B830}"/>
    <cellStyle name="Millares 16" xfId="2025" xr:uid="{41C5E3F3-1A29-421F-9A1F-A1E4588D136B}"/>
    <cellStyle name="Millares 17" xfId="2167" xr:uid="{8FA3820C-A42A-48CA-A09B-036D39336462}"/>
    <cellStyle name="Millares 18" xfId="2166" xr:uid="{D1F02BE0-7CCC-4080-AD6E-8AD8A6CF579A}"/>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3 2 2 2 2" xfId="1965" xr:uid="{A2780305-6660-4E8A-B685-7B267236C92C}"/>
    <cellStyle name="Millares 2 13 2 2 2 3" xfId="1881" xr:uid="{68CE6704-3B04-410C-85AC-C9706E40DE2B}"/>
    <cellStyle name="Millares 2 13 2 2 3" xfId="1964" xr:uid="{67C1A526-CE3E-46DC-BAA3-D95291FFF627}"/>
    <cellStyle name="Millares 2 13 2 2 4" xfId="1880" xr:uid="{AB5B3773-F33A-46B9-92FE-C086CB9C5285}"/>
    <cellStyle name="Millares 2 13 2 3" xfId="1963" xr:uid="{B981680B-4C26-4D06-BF18-442F199094E1}"/>
    <cellStyle name="Millares 2 13 2 4" xfId="1879" xr:uid="{8BBD54E3-43A3-4220-AF07-FA0DBAA6BC56}"/>
    <cellStyle name="Millares 2 13 3" xfId="1962" xr:uid="{E43D3F56-C164-4154-BBF7-57D1DB708248}"/>
    <cellStyle name="Millares 2 13 4" xfId="1878" xr:uid="{46481C31-5FCF-4230-A499-BA275A2A3365}"/>
    <cellStyle name="Millares 2 14" xfId="1261" xr:uid="{00000000-0005-0000-0000-0000F0040000}"/>
    <cellStyle name="Millares 2 14 2" xfId="1966" xr:uid="{DBB1C472-C88B-4168-B1D0-174C1BB6AC92}"/>
    <cellStyle name="Millares 2 14 3" xfId="1882" xr:uid="{A880EFA8-3228-4F0A-8887-5498736FC586}"/>
    <cellStyle name="Millares 2 2" xfId="1262" xr:uid="{00000000-0005-0000-0000-0000F1040000}"/>
    <cellStyle name="Millares 2 2 2" xfId="1263" xr:uid="{00000000-0005-0000-0000-0000F2040000}"/>
    <cellStyle name="Millares 2 2 3" xfId="1264" xr:uid="{00000000-0005-0000-0000-0000F3040000}"/>
    <cellStyle name="Millares 2 2 4" xfId="1265" xr:uid="{00000000-0005-0000-0000-0000F4040000}"/>
    <cellStyle name="Millares 2 2 5" xfId="1967" xr:uid="{6970F0C2-AFAF-4783-994F-591E47BC8652}"/>
    <cellStyle name="Millares 2 2 6" xfId="1883" xr:uid="{5D4F3319-F1CE-45F6-9C16-7490EFFF9DA1}"/>
    <cellStyle name="Millares 2 2 7" xfId="2098" xr:uid="{2B0F2560-50C3-43DC-A774-E6970318B879}"/>
    <cellStyle name="Millares 2 2 8" xfId="2169" xr:uid="{4790E048-C9A0-4135-A07E-075A5B27255D}"/>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2" xfId="1277" xr:uid="{00000000-0005-0000-0000-000000050000}"/>
    <cellStyle name="Millares 4 2 2" xfId="1278" xr:uid="{00000000-0005-0000-0000-000001050000}"/>
    <cellStyle name="Millares 4 2 2 2" xfId="1279" xr:uid="{00000000-0005-0000-0000-000002050000}"/>
    <cellStyle name="Millares 4 2 2 2 2" xfId="1971" xr:uid="{5C416A33-5F64-46AF-A169-36F5513D4E16}"/>
    <cellStyle name="Millares 4 2 2 2 3" xfId="1887" xr:uid="{EBAF7B83-E9A8-473A-A2D1-2F5A7BA2304A}"/>
    <cellStyle name="Millares 4 2 2 3" xfId="1970" xr:uid="{FE109ED0-8776-4AB5-951D-19B70C149E07}"/>
    <cellStyle name="Millares 4 2 2 4" xfId="1886" xr:uid="{85D1CC89-B83F-4CCB-AD79-103FE4903D8A}"/>
    <cellStyle name="Millares 4 2 3" xfId="1969" xr:uid="{611CEC77-4167-4B5A-B2AB-C753CAB666FA}"/>
    <cellStyle name="Millares 4 2 4" xfId="1885" xr:uid="{7AF20CE3-EE07-4F29-9DA9-F44D2620705E}"/>
    <cellStyle name="Millares 4 3" xfId="1280" xr:uid="{00000000-0005-0000-0000-000003050000}"/>
    <cellStyle name="Millares 4 3 2" xfId="1972" xr:uid="{F0B48507-6FED-44CB-9370-2FC35CD7EE15}"/>
    <cellStyle name="Millares 4 3 3" xfId="1888" xr:uid="{49CD7DC0-F6B1-4E2B-BF7E-681BCBDD7586}"/>
    <cellStyle name="Millares 4 4" xfId="1968" xr:uid="{4CA5A902-3E41-43DE-A560-A4511561EBB0}"/>
    <cellStyle name="Millares 4 5" xfId="1884" xr:uid="{E045B7E3-C047-4D76-BF3C-659416D98989}"/>
    <cellStyle name="Millares 4 6" xfId="2099" xr:uid="{860DADC5-A439-4058-9C0B-49B21F985372}"/>
    <cellStyle name="Millares 4 7" xfId="2170" xr:uid="{91C895D5-F395-4DCA-8A3A-FC4A0B492699}"/>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illares 8 2" xfId="1973" xr:uid="{C823517E-3297-4B25-A015-CC24B905B44E}"/>
    <cellStyle name="Millares 8 3" xfId="1889" xr:uid="{C1C7EAE6-498C-4734-B3FC-275242EC5D95}"/>
    <cellStyle name="Millares 9" xfId="1960" xr:uid="{92AE3045-00D1-442E-A2DD-3CC3BD5A9968}"/>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0 2" xfId="1903" xr:uid="{465EC6B8-61B2-45CA-AEB5-F2630C05E5FE}"/>
    <cellStyle name="Notas 10 3" xfId="1890" xr:uid="{1251BC98-7E31-4B9C-91AA-E4AEB4737914}"/>
    <cellStyle name="Notas 10 4" xfId="2100" xr:uid="{5525120C-FC91-49A7-BEEB-0039651F841D}"/>
    <cellStyle name="Notas 10 5" xfId="2024" xr:uid="{6CF927A0-845B-4E9A-92B6-59E45CA05049}"/>
    <cellStyle name="Notas 11" xfId="1449" xr:uid="{00000000-0005-0000-0000-0000AD050000}"/>
    <cellStyle name="Notas 11 2" xfId="1904" xr:uid="{26733C46-EB30-43C6-AB1B-D4D5DEB3E307}"/>
    <cellStyle name="Notas 11 3" xfId="1891" xr:uid="{CA8F2F30-7891-4DD4-92C4-3250D3E9B8A4}"/>
    <cellStyle name="Notas 11 4" xfId="2101" xr:uid="{4915A7F0-86A4-4B68-85CF-D655060E488A}"/>
    <cellStyle name="Notas 11 5" xfId="2023" xr:uid="{EE9EF3A4-B8DC-4298-BD25-E260123233E2}"/>
    <cellStyle name="Notas 12" xfId="1450" xr:uid="{00000000-0005-0000-0000-0000AE050000}"/>
    <cellStyle name="Notas 12 2" xfId="1905" xr:uid="{70387B07-5074-4829-BD59-A3B7117A0733}"/>
    <cellStyle name="Notas 12 3" xfId="1892" xr:uid="{98A09983-8685-4555-B972-4C2FE105E5BD}"/>
    <cellStyle name="Notas 12 4" xfId="2102" xr:uid="{453D0426-08BE-4F04-A0F4-DD418DB0FBA2}"/>
    <cellStyle name="Notas 12 5" xfId="2022" xr:uid="{9F4C4A20-1DF6-400C-9906-281AA198C258}"/>
    <cellStyle name="Notas 13" xfId="1451" xr:uid="{00000000-0005-0000-0000-0000AF050000}"/>
    <cellStyle name="Notas 13 2" xfId="1906" xr:uid="{F8C6C10B-F0A0-4DF4-A567-A9D4CAAA2458}"/>
    <cellStyle name="Notas 13 3" xfId="1893" xr:uid="{F97266BB-BE6E-45F1-9B53-FED32CAB89E1}"/>
    <cellStyle name="Notas 13 4" xfId="2103" xr:uid="{E2563713-D884-47DF-9E8C-6801AD08C748}"/>
    <cellStyle name="Notas 13 5" xfId="2021" xr:uid="{E5A4B0C4-3002-4665-B50D-D731E512232F}"/>
    <cellStyle name="Notas 14" xfId="1452" xr:uid="{00000000-0005-0000-0000-0000B0050000}"/>
    <cellStyle name="Notas 14 2" xfId="1907" xr:uid="{E031036B-CA96-409C-868A-2F04DE531252}"/>
    <cellStyle name="Notas 14 3" xfId="1894" xr:uid="{889C1E46-D607-40B9-8098-FB7E498E7765}"/>
    <cellStyle name="Notas 14 4" xfId="2104" xr:uid="{103C101A-9B6F-4D01-ADD8-B5EE81239ECF}"/>
    <cellStyle name="Notas 14 5" xfId="2020" xr:uid="{5C8FA850-EF3B-41FB-992D-2C9E5478B8E2}"/>
    <cellStyle name="Notas 15" xfId="1453" xr:uid="{00000000-0005-0000-0000-0000B1050000}"/>
    <cellStyle name="Notas 15 2" xfId="1908" xr:uid="{30C9E267-029D-4FEC-A0E5-EA4EA2AEB802}"/>
    <cellStyle name="Notas 15 3" xfId="1895" xr:uid="{ECF78FF2-EACC-4B13-B117-D4519F7D7E4E}"/>
    <cellStyle name="Notas 15 4" xfId="2105" xr:uid="{9D9BE87B-5A3C-4B87-901D-7052B7C948B5}"/>
    <cellStyle name="Notas 15 5" xfId="2019" xr:uid="{4C941824-9660-450A-AFFE-8B4012E94F7B}"/>
    <cellStyle name="Notas 16" xfId="1454" xr:uid="{00000000-0005-0000-0000-0000B2050000}"/>
    <cellStyle name="Notas 16 2" xfId="1909" xr:uid="{1098660D-0869-4E0F-871F-94F501C76F0B}"/>
    <cellStyle name="Notas 16 3" xfId="1896" xr:uid="{6C1E9C07-A76E-421B-8DF2-00795D7EC2A4}"/>
    <cellStyle name="Notas 16 4" xfId="2106" xr:uid="{BF88E4AD-5CB6-462E-A15A-CE0404882D08}"/>
    <cellStyle name="Notas 16 5" xfId="2018" xr:uid="{621CC0EA-927F-4AD1-9075-77E1EDF8ABB6}"/>
    <cellStyle name="Notas 17" xfId="1455" xr:uid="{00000000-0005-0000-0000-0000B3050000}"/>
    <cellStyle name="Notas 17 2" xfId="1910" xr:uid="{F07729F0-1C59-4722-A5E0-6D28A9E7460E}"/>
    <cellStyle name="Notas 17 3" xfId="1897" xr:uid="{2E74BE33-F94C-46BF-BE11-E2BEE9E8F3E4}"/>
    <cellStyle name="Notas 17 4" xfId="2107" xr:uid="{01944FC3-9623-4F25-B7E3-2834B3F9C513}"/>
    <cellStyle name="Notas 17 5" xfId="2017" xr:uid="{B1A81C9D-4EF1-4093-9AB7-354FBFABD1BA}"/>
    <cellStyle name="Notas 18" xfId="1456" xr:uid="{00000000-0005-0000-0000-0000B4050000}"/>
    <cellStyle name="Notas 18 2" xfId="1911" xr:uid="{4012F3ED-BA72-4219-A184-34119C82D94A}"/>
    <cellStyle name="Notas 18 3" xfId="1898" xr:uid="{F717FE84-B0EE-4A3D-A98B-FC5079354665}"/>
    <cellStyle name="Notas 18 4" xfId="2108" xr:uid="{9934D8AD-8ECD-4FBD-AFF8-0BFC69F590A6}"/>
    <cellStyle name="Notas 18 5" xfId="2016" xr:uid="{E8EF2EF9-4087-407B-8A5D-E7C215B06015}"/>
    <cellStyle name="Notas 19" xfId="1457" xr:uid="{00000000-0005-0000-0000-0000B5050000}"/>
    <cellStyle name="Notas 2" xfId="1458" xr:uid="{00000000-0005-0000-0000-0000B6050000}"/>
    <cellStyle name="Notas 2 2" xfId="1459" xr:uid="{00000000-0005-0000-0000-0000B7050000}"/>
    <cellStyle name="Notas 2 2 2" xfId="1914" xr:uid="{0B02C180-0B9C-44D7-95C1-0AD5FFFF0365}"/>
    <cellStyle name="Notas 2 2 3" xfId="1899" xr:uid="{8C6D2891-DB49-47FF-8C21-C109958264D4}"/>
    <cellStyle name="Notas 2 2 4" xfId="2109" xr:uid="{7E49BF01-B681-41AA-8469-533C9CF0DD93}"/>
    <cellStyle name="Notas 2 2 5" xfId="2015" xr:uid="{1FFDA705-E1AA-4F9F-A727-514B2B5152A6}"/>
    <cellStyle name="Notas 2 3" xfId="1460" xr:uid="{00000000-0005-0000-0000-0000B8050000}"/>
    <cellStyle name="Notas 2 3 2" xfId="1915" xr:uid="{EE828041-1F61-41C6-8B1C-848053A1DC27}"/>
    <cellStyle name="Notas 2 3 3" xfId="1900" xr:uid="{0DA00AFD-CD55-4BF9-BAD2-613D5544D2E1}"/>
    <cellStyle name="Notas 2 3 4" xfId="2110" xr:uid="{1E9CF41C-F46B-4475-8F28-5CA1F6629326}"/>
    <cellStyle name="Notas 2 3 5" xfId="2014" xr:uid="{A3AFA09B-AE9E-47F7-8688-66FFD587FF55}"/>
    <cellStyle name="Notas 2 4" xfId="1461" xr:uid="{00000000-0005-0000-0000-0000B9050000}"/>
    <cellStyle name="Notas 2 4 2" xfId="1916" xr:uid="{583BE5F5-2D7E-4ABD-BCAC-04FFE51A6F4B}"/>
    <cellStyle name="Notas 2 4 3" xfId="1901" xr:uid="{A2F15145-B516-4366-B328-040CC83B8B04}"/>
    <cellStyle name="Notas 2 4 4" xfId="2111" xr:uid="{63A87824-0479-4566-9201-03F4E1E90655}"/>
    <cellStyle name="Notas 2 4 5" xfId="2013" xr:uid="{737EDAFE-BE16-401D-AACF-78733C986BCA}"/>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3 2" xfId="1920" xr:uid="{6661D60A-CBC2-4EEB-B5FC-663FC49A2265}"/>
    <cellStyle name="Notas 3 3" xfId="1902" xr:uid="{3BFEB3AE-C218-4CBE-A127-01AFAF7EBD0D}"/>
    <cellStyle name="Notas 3 4" xfId="2112" xr:uid="{9EB0F254-EDAC-4ED5-BE37-E6EBF02D3387}"/>
    <cellStyle name="Notas 3 5" xfId="2012" xr:uid="{33328D71-F031-4053-B7B5-F45848E3DB1B}"/>
    <cellStyle name="Notas 4" xfId="1466" xr:uid="{00000000-0005-0000-0000-0000BE050000}"/>
    <cellStyle name="Notas 4 2" xfId="1921" xr:uid="{DCF65771-84EE-4083-B88F-93D92385E17E}"/>
    <cellStyle name="Notas 4 3" xfId="1912" xr:uid="{684F623B-0987-4311-A41C-45D507403AD7}"/>
    <cellStyle name="Notas 4 4" xfId="2113" xr:uid="{953B8394-C453-49BF-8F89-087DC4998F90}"/>
    <cellStyle name="Notas 4 5" xfId="2011" xr:uid="{F5E4992A-5507-45D2-AE5E-0A3017B8C400}"/>
    <cellStyle name="Notas 5" xfId="1467" xr:uid="{00000000-0005-0000-0000-0000BF050000}"/>
    <cellStyle name="Notas 5 2" xfId="1922" xr:uid="{2A43F75C-8FFC-454C-AFCC-61775774EB9E}"/>
    <cellStyle name="Notas 5 3" xfId="1913" xr:uid="{35BA0EF6-0E0B-486E-BD8F-FE6A1E9C3895}"/>
    <cellStyle name="Notas 5 4" xfId="2114" xr:uid="{4BFAC480-0DE2-43D9-B971-E0531263CDA5}"/>
    <cellStyle name="Notas 5 5" xfId="2010" xr:uid="{3B9BDA0A-CD6E-4C0B-93D3-B90C33807674}"/>
    <cellStyle name="Notas 6" xfId="1468" xr:uid="{00000000-0005-0000-0000-0000C0050000}"/>
    <cellStyle name="Notas 6 2" xfId="1923" xr:uid="{4015D4C8-1B38-4E19-8264-C6611FC65042}"/>
    <cellStyle name="Notas 6 3" xfId="1917" xr:uid="{7EF4B82D-E6B9-459E-9C68-58A923AFA962}"/>
    <cellStyle name="Notas 6 4" xfId="2115" xr:uid="{2722899D-9D10-4732-BC57-A6C5BC193A4E}"/>
    <cellStyle name="Notas 6 5" xfId="2009" xr:uid="{497C6D12-57FB-47B0-8773-54EE6D5D59D7}"/>
    <cellStyle name="Notas 7" xfId="1469" xr:uid="{00000000-0005-0000-0000-0000C1050000}"/>
    <cellStyle name="Notas 7 2" xfId="1924" xr:uid="{E733352E-89E0-407B-ADF8-88317D6E9680}"/>
    <cellStyle name="Notas 7 3" xfId="1918" xr:uid="{472170EA-2E9E-4EFB-90D9-2168C7A67AE5}"/>
    <cellStyle name="Notas 7 4" xfId="2116" xr:uid="{2F4AF979-97ED-4216-BE85-7588C37A1FCC}"/>
    <cellStyle name="Notas 7 5" xfId="2008" xr:uid="{B30079D2-5847-420E-B599-D9E7F325FC20}"/>
    <cellStyle name="Notas 8" xfId="1470" xr:uid="{00000000-0005-0000-0000-0000C2050000}"/>
    <cellStyle name="Notas 8 2" xfId="1925" xr:uid="{723D4C1C-9F8B-4F45-9857-CB945B9BE991}"/>
    <cellStyle name="Notas 8 3" xfId="1919" xr:uid="{08A18AD1-2D1A-4B04-8F9F-F642A8C89771}"/>
    <cellStyle name="Notas 8 4" xfId="2117" xr:uid="{ABDC7E1C-5C16-4183-AA12-BD58FE2556A8}"/>
    <cellStyle name="Notas 8 5" xfId="2007" xr:uid="{27708B88-C66E-4E81-831A-ADB8DB1C8C8C}"/>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23" xfId="1926" xr:uid="{65291A15-2CF1-4218-AA7F-A248F45EB248}"/>
    <cellStyle name="Notas 9 24" xfId="1927" xr:uid="{0E2BFD8C-DDDC-4B9F-9FB6-AEEB66ACE9B4}"/>
    <cellStyle name="Notas 9 25" xfId="2118" xr:uid="{7CDDA0BB-A716-479B-843B-AD2A19EB7AF7}"/>
    <cellStyle name="Notas 9 26" xfId="2006" xr:uid="{7FB32A28-B7F7-4222-85E6-5DFB0438EAD1}"/>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0 2" xfId="1928" xr:uid="{721F4DAD-5194-412B-BBD8-BFFB0F4F83BE}"/>
    <cellStyle name="Salida 10 3" xfId="1805" xr:uid="{F2B7211E-5739-44FD-8706-1E5E2B61D45D}"/>
    <cellStyle name="Salida 10 4" xfId="2119" xr:uid="{4CC1B549-B9AE-4E83-881C-B67818CE6A1B}"/>
    <cellStyle name="Salida 10 5" xfId="2005" xr:uid="{C81FF48F-7EEA-4801-89CF-6719E81ED804}"/>
    <cellStyle name="Salida 11" xfId="1503" xr:uid="{00000000-0005-0000-0000-0000E3050000}"/>
    <cellStyle name="Salida 11 2" xfId="1929" xr:uid="{C37944F5-D7DE-4CA9-9790-74221E126A95}"/>
    <cellStyle name="Salida 11 3" xfId="1804" xr:uid="{483C2E77-D2C9-4993-B6F5-761110C067FF}"/>
    <cellStyle name="Salida 11 4" xfId="2120" xr:uid="{1494E9D6-224E-491C-B365-A7790C2F55BE}"/>
    <cellStyle name="Salida 11 5" xfId="2004" xr:uid="{22A5BCCB-4C7F-42DC-ABBB-CA57BBB28AC3}"/>
    <cellStyle name="Salida 12" xfId="1504" xr:uid="{00000000-0005-0000-0000-0000E4050000}"/>
    <cellStyle name="Salida 12 2" xfId="1930" xr:uid="{5CD05F7E-4A42-4BA7-BC85-ECDFEC87A627}"/>
    <cellStyle name="Salida 12 3" xfId="1803" xr:uid="{814E076D-F9AC-4F87-BDD8-1528ACC5218D}"/>
    <cellStyle name="Salida 12 4" xfId="2121" xr:uid="{77CD3A23-A7D3-415D-8252-1E1E10198871}"/>
    <cellStyle name="Salida 12 5" xfId="2003" xr:uid="{4B4777E3-EBCB-4537-9EFB-ABF49D2480E4}"/>
    <cellStyle name="Salida 13" xfId="1505" xr:uid="{00000000-0005-0000-0000-0000E5050000}"/>
    <cellStyle name="Salida 13 2" xfId="1931" xr:uid="{F11A2D1A-4EF7-4FFC-A211-7A491B01CBB1}"/>
    <cellStyle name="Salida 13 3" xfId="1802" xr:uid="{2BCBFE82-1889-4F70-B640-005B73D891BA}"/>
    <cellStyle name="Salida 13 4" xfId="2122" xr:uid="{DC6DADB7-B008-4FF3-9D71-67E5526F5378}"/>
    <cellStyle name="Salida 13 5" xfId="2002" xr:uid="{B16A7921-B66A-476B-A638-795636A171E5}"/>
    <cellStyle name="Salida 14" xfId="1506" xr:uid="{00000000-0005-0000-0000-0000E6050000}"/>
    <cellStyle name="Salida 14 2" xfId="1932" xr:uid="{B0DD6107-2344-481E-9F32-594633E7866B}"/>
    <cellStyle name="Salida 14 3" xfId="1801" xr:uid="{05148216-F09D-4714-99DE-D5532B2B3D99}"/>
    <cellStyle name="Salida 14 4" xfId="2123" xr:uid="{CB6D8DA3-DE19-41F8-B647-7B9867218338}"/>
    <cellStyle name="Salida 14 5" xfId="2001" xr:uid="{3EF52D3C-DFEE-4183-8464-B4D009582260}"/>
    <cellStyle name="Salida 15" xfId="1507" xr:uid="{00000000-0005-0000-0000-0000E7050000}"/>
    <cellStyle name="Salida 15 2" xfId="1933" xr:uid="{41F87008-1A30-4F58-9F52-257FE5F8D48A}"/>
    <cellStyle name="Salida 15 3" xfId="1800" xr:uid="{0E9713C8-9F87-4216-965E-E58674784376}"/>
    <cellStyle name="Salida 15 4" xfId="2124" xr:uid="{864B3870-CD2F-480C-95BC-310519B07D68}"/>
    <cellStyle name="Salida 15 5" xfId="2000" xr:uid="{97BBB815-CAA7-416C-BE26-D7BF4BAF4ECA}"/>
    <cellStyle name="Salida 16" xfId="1508" xr:uid="{00000000-0005-0000-0000-0000E8050000}"/>
    <cellStyle name="Salida 16 2" xfId="1934" xr:uid="{7A239006-2B82-4459-9A4F-E23E540D1CF8}"/>
    <cellStyle name="Salida 16 3" xfId="1799" xr:uid="{CA4EE7EC-FBE0-4862-A0C9-886D86FB85AF}"/>
    <cellStyle name="Salida 16 4" xfId="2125" xr:uid="{E9F449B6-3601-4CC6-B922-3855B8B8108D}"/>
    <cellStyle name="Salida 16 5" xfId="1999" xr:uid="{B71957CD-3E49-4BD9-8662-C0D6F680B3BE}"/>
    <cellStyle name="Salida 17" xfId="1509" xr:uid="{00000000-0005-0000-0000-0000E9050000}"/>
    <cellStyle name="Salida 17 2" xfId="1935" xr:uid="{A611132A-BB4C-4633-8DD0-8658A8BF855E}"/>
    <cellStyle name="Salida 17 3" xfId="1798" xr:uid="{1A9777FD-397F-449E-A8AD-5CC1AE7D2851}"/>
    <cellStyle name="Salida 17 4" xfId="2126" xr:uid="{1F47CC65-BD9E-437F-84A1-2AD1D81FF31C}"/>
    <cellStyle name="Salida 17 5" xfId="1998" xr:uid="{ED0F4EA3-A614-4276-9D44-9FF4A5D220B6}"/>
    <cellStyle name="Salida 18" xfId="1510" xr:uid="{00000000-0005-0000-0000-0000EA050000}"/>
    <cellStyle name="Salida 18 2" xfId="1936" xr:uid="{320F3782-BC0F-47B7-A2B0-170FDE93AAC6}"/>
    <cellStyle name="Salida 18 3" xfId="1797" xr:uid="{8CAC898B-4D6C-43A5-A0BF-6E320F2D90F9}"/>
    <cellStyle name="Salida 18 4" xfId="2127" xr:uid="{72488CA3-01FD-4108-9252-4E4701A4744A}"/>
    <cellStyle name="Salida 18 5" xfId="1997" xr:uid="{8C267D28-971D-4D4E-AE31-E40FE5C70EB4}"/>
    <cellStyle name="Salida 2" xfId="1511" xr:uid="{00000000-0005-0000-0000-0000EB050000}"/>
    <cellStyle name="Salida 2 2" xfId="1937" xr:uid="{06CEA6A0-779F-45EE-80C3-3AAE8261C110}"/>
    <cellStyle name="Salida 2 3" xfId="1796" xr:uid="{8F6308BE-9DE4-4BFE-923F-78FE5217A66F}"/>
    <cellStyle name="Salida 2 4" xfId="2128" xr:uid="{E7B23F64-EB30-46FF-9753-F14EC816963E}"/>
    <cellStyle name="Salida 2 5" xfId="1996" xr:uid="{30B728A9-09F7-4486-9710-1FF4F8A6E764}"/>
    <cellStyle name="Salida 3" xfId="1512" xr:uid="{00000000-0005-0000-0000-0000EC050000}"/>
    <cellStyle name="Salida 3 2" xfId="1938" xr:uid="{5FCA993E-C352-4FD9-8C34-F86E8307C50B}"/>
    <cellStyle name="Salida 3 3" xfId="1795" xr:uid="{7DA15EE0-6F6B-4B2A-9313-5118001C4F57}"/>
    <cellStyle name="Salida 3 4" xfId="2131" xr:uid="{477F188B-352D-455C-A521-ECE58248B87B}"/>
    <cellStyle name="Salida 3 5" xfId="1995" xr:uid="{AAE4DD89-D83E-40CD-94A1-B08129E2FCB6}"/>
    <cellStyle name="Salida 4" xfId="1513" xr:uid="{00000000-0005-0000-0000-0000ED050000}"/>
    <cellStyle name="Salida 4 2" xfId="1939" xr:uid="{4431280D-69C5-4BD0-B561-5050DBDAA137}"/>
    <cellStyle name="Salida 4 3" xfId="1794" xr:uid="{E621F8F8-AC61-4CEA-AE1E-74A562966F0F}"/>
    <cellStyle name="Salida 4 4" xfId="2129" xr:uid="{2C181BFF-BB8C-49E6-A123-7322DAB9B47C}"/>
    <cellStyle name="Salida 4 5" xfId="1994" xr:uid="{F88E01D0-BBE5-4A45-B3F8-94ACAC77D0FC}"/>
    <cellStyle name="Salida 5" xfId="1514" xr:uid="{00000000-0005-0000-0000-0000EE050000}"/>
    <cellStyle name="Salida 5 2" xfId="1940" xr:uid="{2B229A60-BD1E-4E8F-B06A-559D659AD43D}"/>
    <cellStyle name="Salida 5 3" xfId="1793" xr:uid="{376B9344-0D87-442D-B470-1E25547C1FA9}"/>
    <cellStyle name="Salida 5 4" xfId="2130" xr:uid="{3EBFA2A2-733A-4183-BEE0-602168E76256}"/>
    <cellStyle name="Salida 5 5" xfId="1993" xr:uid="{CBEC737E-DD4E-49D6-9CF5-917858BE24D8}"/>
    <cellStyle name="Salida 6" xfId="1515" xr:uid="{00000000-0005-0000-0000-0000EF050000}"/>
    <cellStyle name="Salida 6 2" xfId="1941" xr:uid="{F6C134A5-ADF7-46A3-A835-9B1D212BE824}"/>
    <cellStyle name="Salida 6 3" xfId="1792" xr:uid="{5C36C143-F220-4C0C-BC92-5C5DC6CB1D9D}"/>
    <cellStyle name="Salida 6 4" xfId="2132" xr:uid="{8BC96DAA-C87B-4115-8956-DD919A5103A0}"/>
    <cellStyle name="Salida 6 5" xfId="1992" xr:uid="{AA09F84D-C499-40F9-8930-FA716D925C4A}"/>
    <cellStyle name="Salida 7" xfId="1516" xr:uid="{00000000-0005-0000-0000-0000F0050000}"/>
    <cellStyle name="Salida 7 2" xfId="1942" xr:uid="{82A9852C-D9E7-4A02-A110-5376AB0F394A}"/>
    <cellStyle name="Salida 7 3" xfId="1791" xr:uid="{CDF1E22F-58A0-4267-826F-213EF3BEA7F5}"/>
    <cellStyle name="Salida 7 4" xfId="2133" xr:uid="{24ACECE9-E9F3-4CC8-945D-EEC07432D028}"/>
    <cellStyle name="Salida 7 5" xfId="1991" xr:uid="{BED1F11C-8034-447F-8863-7538500416E1}"/>
    <cellStyle name="Salida 8" xfId="1517" xr:uid="{00000000-0005-0000-0000-0000F1050000}"/>
    <cellStyle name="Salida 8 2" xfId="1943" xr:uid="{F4C7E61E-EB8E-4F5D-9E80-3F75E7C3AC2C}"/>
    <cellStyle name="Salida 8 3" xfId="1790" xr:uid="{F9582968-8ADA-4127-81A2-0599BBE5271C}"/>
    <cellStyle name="Salida 8 4" xfId="2134" xr:uid="{2F8ADCAD-89C3-4C02-9C62-ADB086CB4173}"/>
    <cellStyle name="Salida 8 5" xfId="1990" xr:uid="{9E8AFFB1-50C2-4531-980E-5E80BA66E322}"/>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23" xfId="1944" xr:uid="{65A39CC9-E708-4BEC-BAC4-A391B42A9FB9}"/>
    <cellStyle name="Salida 9 24" xfId="1789" xr:uid="{BFC61110-2D45-463A-8E02-EAE443BCB18E}"/>
    <cellStyle name="Salida 9 25" xfId="2135" xr:uid="{9FD331C8-AFB4-4E34-9838-CA4B3FCA8E7F}"/>
    <cellStyle name="Salida 9 26" xfId="1989" xr:uid="{E1E90015-0DA2-41F4-BDFD-1929750E0747}"/>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0 2" xfId="1945" xr:uid="{4C5C470E-4C14-49C3-A3A2-03D090435118}"/>
    <cellStyle name="Total 10 3" xfId="1974" xr:uid="{1C43BFB2-B336-4BEC-A32D-DCDF5EDC39C5}"/>
    <cellStyle name="Total 10 4" xfId="2136" xr:uid="{91FA8264-909D-4388-B63B-5F27C5DB8093}"/>
    <cellStyle name="Total 10 5" xfId="2151" xr:uid="{C9788C01-4B1E-4095-A192-E70219ABC929}"/>
    <cellStyle name="Total 11" xfId="1775" xr:uid="{00000000-0005-0000-0000-0000EF060000}"/>
    <cellStyle name="Total 11 2" xfId="1946" xr:uid="{DEADC66B-4214-4678-8261-D3F257797CAB}"/>
    <cellStyle name="Total 11 3" xfId="1975" xr:uid="{6854CC36-E6BF-4D0F-A1AC-78E5D7D85E76}"/>
    <cellStyle name="Total 11 4" xfId="2137" xr:uid="{4BCFEA35-A741-46F6-85AC-7B9D5F8AB543}"/>
    <cellStyle name="Total 11 5" xfId="2152" xr:uid="{EE4B9DCA-54DB-4AE5-85F1-5573F142AC20}"/>
    <cellStyle name="Total 12" xfId="1776" xr:uid="{00000000-0005-0000-0000-0000F0060000}"/>
    <cellStyle name="Total 12 2" xfId="1947" xr:uid="{E78CE0DB-38A8-4617-A588-F6F97BD153A7}"/>
    <cellStyle name="Total 12 3" xfId="1976" xr:uid="{696E65B3-BCCA-471E-A0C8-81A615B13DB8}"/>
    <cellStyle name="Total 12 4" xfId="2138" xr:uid="{28D9365C-9DA3-4F71-BF2F-4ABC3BE2B994}"/>
    <cellStyle name="Total 12 5" xfId="2153" xr:uid="{7BCB7721-7C35-4A7B-80BC-0E0C2ADC78E2}"/>
    <cellStyle name="Total 13" xfId="1777" xr:uid="{00000000-0005-0000-0000-0000F1060000}"/>
    <cellStyle name="Total 13 2" xfId="1948" xr:uid="{B700D807-9756-41CB-AFDE-5E7E2C0357EF}"/>
    <cellStyle name="Total 13 3" xfId="1977" xr:uid="{26B106E9-26C4-4DC8-AA74-E7E028DD0C8F}"/>
    <cellStyle name="Total 13 4" xfId="2139" xr:uid="{43C62FE5-ADF5-4932-9F77-A589BE13A8B6}"/>
    <cellStyle name="Total 13 5" xfId="2154" xr:uid="{41FC7F00-1C4A-4116-ABBC-9626FAC02624}"/>
    <cellStyle name="Total 14" xfId="1778" xr:uid="{00000000-0005-0000-0000-0000F2060000}"/>
    <cellStyle name="Total 14 2" xfId="1949" xr:uid="{F19A910C-A487-4CC2-B73F-35480F32A5EE}"/>
    <cellStyle name="Total 14 3" xfId="1978" xr:uid="{EBF3DA12-3F7C-441B-BC3D-FFA3B4083F58}"/>
    <cellStyle name="Total 14 4" xfId="2140" xr:uid="{48519EA9-2600-45A2-94BA-C5282877A933}"/>
    <cellStyle name="Total 14 5" xfId="2155" xr:uid="{6F61B3EB-BAED-4F55-9959-DCEC8CBBB27B}"/>
    <cellStyle name="Total 15" xfId="1779" xr:uid="{00000000-0005-0000-0000-0000F3060000}"/>
    <cellStyle name="Total 15 2" xfId="1950" xr:uid="{9EA8038E-5591-4350-A37E-E26A963A1C29}"/>
    <cellStyle name="Total 15 3" xfId="1979" xr:uid="{D99A92D7-1245-4091-BF4C-5E9D569B19ED}"/>
    <cellStyle name="Total 15 4" xfId="2141" xr:uid="{908A5EC2-3A7A-4F32-A483-A12973D5D2CB}"/>
    <cellStyle name="Total 15 5" xfId="2156" xr:uid="{F1F7924A-E70D-41DE-B91F-A2C03DF148A3}"/>
    <cellStyle name="Total 16" xfId="1780" xr:uid="{00000000-0005-0000-0000-0000F4060000}"/>
    <cellStyle name="Total 16 2" xfId="1951" xr:uid="{FF91D4DB-FACD-476A-A74A-E13AB1135552}"/>
    <cellStyle name="Total 16 3" xfId="1980" xr:uid="{2973CF77-21EF-497C-8DF5-51960F3BF26F}"/>
    <cellStyle name="Total 16 4" xfId="2142" xr:uid="{5AD203DB-46E4-4513-9B54-A35B5D10C242}"/>
    <cellStyle name="Total 16 5" xfId="2157" xr:uid="{BFA48604-E37B-4E34-9A43-15F0B7467DE4}"/>
    <cellStyle name="Total 2" xfId="1781" xr:uid="{00000000-0005-0000-0000-0000F5060000}"/>
    <cellStyle name="Total 2 2" xfId="1952" xr:uid="{FD38AE1F-3BF8-455E-8ADE-C4E129018136}"/>
    <cellStyle name="Total 2 3" xfId="1981" xr:uid="{ECD31562-371D-4C73-8A40-080F328F1E40}"/>
    <cellStyle name="Total 2 4" xfId="2143" xr:uid="{35CF833F-0ED5-4754-90D7-CA0921C86742}"/>
    <cellStyle name="Total 2 5" xfId="2158" xr:uid="{4A7AF7A9-4439-4FD2-8713-8C3F74FD484D}"/>
    <cellStyle name="Total 3" xfId="1782" xr:uid="{00000000-0005-0000-0000-0000F6060000}"/>
    <cellStyle name="Total 3 2" xfId="1953" xr:uid="{6178531B-DC07-473A-8853-52158A4D10BD}"/>
    <cellStyle name="Total 3 3" xfId="1982" xr:uid="{B439E025-EF45-484B-83FA-C62891BA325B}"/>
    <cellStyle name="Total 3 4" xfId="2144" xr:uid="{8F366E0F-B464-424C-9423-74AED14D9E1E}"/>
    <cellStyle name="Total 3 5" xfId="2159" xr:uid="{1F94236D-7DAF-4D1C-BAB6-AEB7BF4FFD83}"/>
    <cellStyle name="Total 4" xfId="1783" xr:uid="{00000000-0005-0000-0000-0000F7060000}"/>
    <cellStyle name="Total 4 2" xfId="1954" xr:uid="{78BB80CE-286A-4682-AFE1-CA5973E3B271}"/>
    <cellStyle name="Total 4 3" xfId="1983" xr:uid="{0EB5B255-D0B7-441C-92C3-4EA1B62E883C}"/>
    <cellStyle name="Total 4 4" xfId="2145" xr:uid="{CCDF9949-948A-41F4-9358-78D23F50F3DA}"/>
    <cellStyle name="Total 4 5" xfId="2160" xr:uid="{9B93194E-58B8-4F98-BFCA-5D958D512752}"/>
    <cellStyle name="Total 5" xfId="1784" xr:uid="{00000000-0005-0000-0000-0000F8060000}"/>
    <cellStyle name="Total 5 2" xfId="1955" xr:uid="{20943EE4-090C-472C-B647-2EF15850471B}"/>
    <cellStyle name="Total 5 3" xfId="1984" xr:uid="{C438A7A9-F4C5-4607-BC41-2FDA9BEBD580}"/>
    <cellStyle name="Total 5 4" xfId="2146" xr:uid="{7A9B0E15-8BB8-446C-8AD1-3FC06F2DA66E}"/>
    <cellStyle name="Total 5 5" xfId="2161" xr:uid="{719370C0-A308-475B-8466-8C2CF72664B1}"/>
    <cellStyle name="Total 6" xfId="1785" xr:uid="{00000000-0005-0000-0000-0000F9060000}"/>
    <cellStyle name="Total 6 2" xfId="1956" xr:uid="{CBEBFC01-9232-49AE-BC27-1DC46355DBFA}"/>
    <cellStyle name="Total 6 3" xfId="1985" xr:uid="{116EC7F0-550A-4848-9248-DB892DBB4D3E}"/>
    <cellStyle name="Total 6 4" xfId="2147" xr:uid="{167C46AD-09D2-4529-859C-D6CBCEF33477}"/>
    <cellStyle name="Total 6 5" xfId="2162" xr:uid="{B8D41465-5983-4BCC-B4FA-FB318CA59476}"/>
    <cellStyle name="Total 7" xfId="1786" xr:uid="{00000000-0005-0000-0000-0000FA060000}"/>
    <cellStyle name="Total 7 2" xfId="1957" xr:uid="{50CD1773-8882-4B30-8394-8B54B9C7EE3C}"/>
    <cellStyle name="Total 7 3" xfId="1986" xr:uid="{3AFDA239-E48F-406E-A25F-3C1098559EDA}"/>
    <cellStyle name="Total 7 4" xfId="2148" xr:uid="{6E2C1C4D-35BE-497B-8E62-C4C5D122D8CB}"/>
    <cellStyle name="Total 7 5" xfId="2163" xr:uid="{D1E34B26-9B15-47D4-BBB0-EE5ED81C8C16}"/>
    <cellStyle name="Total 8" xfId="1787" xr:uid="{00000000-0005-0000-0000-0000FB060000}"/>
    <cellStyle name="Total 8 2" xfId="1958" xr:uid="{89FB9CC8-3409-41A6-BE50-7005E8952CEF}"/>
    <cellStyle name="Total 8 3" xfId="1987" xr:uid="{5B646F27-DF10-4EAD-8438-C83081A414D5}"/>
    <cellStyle name="Total 8 4" xfId="2149" xr:uid="{982111E2-18D1-434A-A43A-F07777EEBB63}"/>
    <cellStyle name="Total 8 5" xfId="2164" xr:uid="{260F7E84-CACC-4A83-8669-1E938F475E22}"/>
    <cellStyle name="Total 9" xfId="1788" xr:uid="{00000000-0005-0000-0000-0000FC060000}"/>
    <cellStyle name="Total 9 2" xfId="1959" xr:uid="{AC6F293D-C04E-4C12-9AF4-33232D328F10}"/>
    <cellStyle name="Total 9 3" xfId="1988" xr:uid="{A37F50B6-FAB6-4A5C-B322-838C5BEBAF8D}"/>
    <cellStyle name="Total 9 4" xfId="2150" xr:uid="{973A1CE0-E6D8-44F7-BB96-4D7D2827B5A9}"/>
    <cellStyle name="Total 9 5" xfId="2165" xr:uid="{08FEEC73-D56E-487A-8228-B87E7F9F904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0.05</c:v>
                </c:pt>
                <c:pt idx="1">
                  <c:v>0.123</c:v>
                </c:pt>
                <c:pt idx="2">
                  <c:v>7.3999999999999996E-2</c:v>
                </c:pt>
                <c:pt idx="3">
                  <c:v>5.3000000000000005E-2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0.05</c:v>
                </c:pt>
                <c:pt idx="1">
                  <c:v>0.05</c:v>
                </c:pt>
                <c:pt idx="2">
                  <c:v>2.5000000000000005E-2</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1'!$H$26</c:f>
              <c:strCache>
                <c:ptCount val="1"/>
                <c:pt idx="0">
                  <c:v>% Avance acumulado</c:v>
                </c:pt>
              </c:strCache>
            </c:strRef>
          </c:tx>
          <c:val>
            <c:numRef>
              <c:f>'META 1'!$H$27:$H$38</c:f>
              <c:numCache>
                <c:formatCode>0%</c:formatCode>
                <c:ptCount val="12"/>
                <c:pt idx="0">
                  <c:v>0.125</c:v>
                </c:pt>
                <c:pt idx="1">
                  <c:v>0.25</c:v>
                </c:pt>
                <c:pt idx="2">
                  <c:v>0.3125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2.4999900000000002E-2</c:v>
                </c:pt>
                <c:pt idx="1">
                  <c:v>2.4999900000000002E-2</c:v>
                </c:pt>
                <c:pt idx="2">
                  <c:v>2.4999900000000002E-2</c:v>
                </c:pt>
                <c:pt idx="3">
                  <c:v>2.4999900000000002E-2</c:v>
                </c:pt>
                <c:pt idx="4">
                  <c:v>2.4999900000000002E-2</c:v>
                </c:pt>
                <c:pt idx="5">
                  <c:v>2.4999900000000002E-2</c:v>
                </c:pt>
                <c:pt idx="6">
                  <c:v>2.4999900000000002E-2</c:v>
                </c:pt>
                <c:pt idx="7">
                  <c:v>2.4999900000000002E-2</c:v>
                </c:pt>
                <c:pt idx="8">
                  <c:v>2.4999900000000002E-2</c:v>
                </c:pt>
                <c:pt idx="9">
                  <c:v>2.4999900000000002E-2</c:v>
                </c:pt>
                <c:pt idx="10">
                  <c:v>2.4999900000000002E-2</c:v>
                </c:pt>
                <c:pt idx="11">
                  <c:v>2.4999900000000002E-2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#,##0.000_);_(* \(#,##0.000\);_(* "-"??_);_(@_)</c:formatCode>
                <c:ptCount val="12"/>
                <c:pt idx="0">
                  <c:v>2.4999900000000002E-2</c:v>
                </c:pt>
                <c:pt idx="1">
                  <c:v>2.4999900000000002E-2</c:v>
                </c:pt>
                <c:pt idx="2">
                  <c:v>2.4999900000000002E-2</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2'!$H$26</c:f>
              <c:strCache>
                <c:ptCount val="1"/>
                <c:pt idx="0">
                  <c:v>% Avance acumulado</c:v>
                </c:pt>
              </c:strCache>
            </c:strRef>
          </c:tx>
          <c:val>
            <c:numRef>
              <c:f>'META 2'!$H$27:$H$38</c:f>
              <c:numCache>
                <c:formatCode>0.00%</c:formatCode>
                <c:ptCount val="12"/>
                <c:pt idx="0">
                  <c:v>8.3333000000000004E-2</c:v>
                </c:pt>
                <c:pt idx="1">
                  <c:v>0.16666600000000001</c:v>
                </c:pt>
                <c:pt idx="2">
                  <c:v>0.24999900000000003</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#,##0.00_);_(* \(#,##0.00\);_(* "-"??_);_(@_)</c:formatCode>
                <c:ptCount val="12"/>
                <c:pt idx="0">
                  <c:v>2.7600000000000003E-2</c:v>
                </c:pt>
                <c:pt idx="1">
                  <c:v>1.72E-2</c:v>
                </c:pt>
                <c:pt idx="2">
                  <c:v>1.84E-2</c:v>
                </c:pt>
                <c:pt idx="3">
                  <c:v>3.04E-2</c:v>
                </c:pt>
                <c:pt idx="4">
                  <c:v>1.72E-2</c:v>
                </c:pt>
                <c:pt idx="5">
                  <c:v>1.84E-2</c:v>
                </c:pt>
                <c:pt idx="6">
                  <c:v>3.04E-2</c:v>
                </c:pt>
                <c:pt idx="7">
                  <c:v>2.7200000000000002E-2</c:v>
                </c:pt>
                <c:pt idx="8">
                  <c:v>6.2400000000000004E-2</c:v>
                </c:pt>
                <c:pt idx="9">
                  <c:v>9.3200000000000005E-2</c:v>
                </c:pt>
                <c:pt idx="10">
                  <c:v>3.7600000000000001E-2</c:v>
                </c:pt>
                <c:pt idx="11">
                  <c:v>2.0000000000000004E-2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#,##0.00_);_(* \(#,##0.00\);_(* "-"??_);_(@_)</c:formatCode>
                <c:ptCount val="12"/>
                <c:pt idx="0">
                  <c:v>2.7600000000000003E-2</c:v>
                </c:pt>
                <c:pt idx="1">
                  <c:v>1.72E-2</c:v>
                </c:pt>
                <c:pt idx="2">
                  <c:v>1.84E-2</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0">
                  <c:v>6.9000000000000006E-2</c:v>
                </c:pt>
                <c:pt idx="1">
                  <c:v>0.112</c:v>
                </c:pt>
                <c:pt idx="2">
                  <c:v>0.158</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#,##0.00_);_(* \(#,##0.00\);_(* "-"??_);_(@_)</c:formatCode>
                <c:ptCount val="12"/>
                <c:pt idx="0">
                  <c:v>7.41</c:v>
                </c:pt>
                <c:pt idx="1">
                  <c:v>0.99</c:v>
                </c:pt>
                <c:pt idx="2">
                  <c:v>0.81</c:v>
                </c:pt>
                <c:pt idx="3">
                  <c:v>6</c:v>
                </c:pt>
                <c:pt idx="4">
                  <c:v>1.5899999999999999</c:v>
                </c:pt>
                <c:pt idx="5">
                  <c:v>0.81</c:v>
                </c:pt>
                <c:pt idx="6">
                  <c:v>0.81</c:v>
                </c:pt>
                <c:pt idx="7">
                  <c:v>3</c:v>
                </c:pt>
                <c:pt idx="8">
                  <c:v>1.5899999999999999</c:v>
                </c:pt>
                <c:pt idx="9">
                  <c:v>2.0100000000000002</c:v>
                </c:pt>
                <c:pt idx="10">
                  <c:v>0.75</c:v>
                </c:pt>
                <c:pt idx="11">
                  <c:v>4.2299999999999995</c:v>
                </c:pt>
              </c:numCache>
            </c:numRef>
          </c:val>
          <c:extLst>
            <c:ext xmlns:c16="http://schemas.microsoft.com/office/drawing/2014/chart" uri="{C3380CC4-5D6E-409C-BE32-E72D297353CC}">
              <c16:uniqueId val="{00000000-FF7F-46A0-8571-379A4EF4020F}"/>
            </c:ext>
          </c:extLst>
        </c:ser>
        <c:ser>
          <c:idx val="1"/>
          <c:order val="1"/>
          <c:tx>
            <c:strRef>
              <c:f>'META 4'!$D$26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7.41</c:v>
                </c:pt>
                <c:pt idx="1">
                  <c:v>0.99</c:v>
                </c:pt>
                <c:pt idx="2">
                  <c:v>0.81</c:v>
                </c:pt>
              </c:numCache>
            </c:numRef>
          </c:val>
          <c:extLst>
            <c:ext xmlns:c16="http://schemas.microsoft.com/office/drawing/2014/chart" uri="{C3380CC4-5D6E-409C-BE32-E72D297353CC}">
              <c16:uniqueId val="{00000001-FF7F-46A0-8571-379A4EF4020F}"/>
            </c:ext>
          </c:extLst>
        </c:ser>
        <c:dLbls>
          <c:showLegendKey val="0"/>
          <c:showVal val="0"/>
          <c:showCatName val="0"/>
          <c:showSerName val="0"/>
          <c:showPercent val="0"/>
          <c:showBubbleSize val="0"/>
        </c:dLbls>
        <c:gapWidth val="150"/>
        <c:axId val="470388456"/>
        <c:axId val="470386496"/>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0">
                  <c:v>0.247</c:v>
                </c:pt>
                <c:pt idx="1">
                  <c:v>0.28000000000000003</c:v>
                </c:pt>
                <c:pt idx="2">
                  <c:v>0.30700000000000005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F7F-46A0-8571-379A4EF4020F}"/>
            </c:ext>
          </c:extLst>
        </c:ser>
        <c:dLbls>
          <c:showLegendKey val="0"/>
          <c:showVal val="0"/>
          <c:showCatName val="0"/>
          <c:showSerName val="0"/>
          <c:showPercent val="0"/>
          <c:showBubbleSize val="0"/>
        </c:dLbls>
        <c:marker val="1"/>
        <c:smooth val="0"/>
        <c:axId val="470386888"/>
        <c:axId val="470388064"/>
      </c:lineChart>
      <c:catAx>
        <c:axId val="470388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70386496"/>
        <c:crosses val="autoZero"/>
        <c:auto val="1"/>
        <c:lblAlgn val="ctr"/>
        <c:lblOffset val="100"/>
        <c:noMultiLvlLbl val="0"/>
      </c:catAx>
      <c:valAx>
        <c:axId val="470386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70388456"/>
        <c:crosses val="autoZero"/>
        <c:crossBetween val="between"/>
      </c:valAx>
      <c:valAx>
        <c:axId val="470388064"/>
        <c:scaling>
          <c:orientation val="minMax"/>
          <c:max val="1"/>
        </c:scaling>
        <c:delete val="0"/>
        <c:axPos val="r"/>
        <c:numFmt formatCode="0.00%" sourceLinked="1"/>
        <c:majorTickMark val="out"/>
        <c:minorTickMark val="none"/>
        <c:tickLblPos val="nextTo"/>
        <c:crossAx val="470386888"/>
        <c:crosses val="max"/>
        <c:crossBetween val="between"/>
      </c:valAx>
      <c:catAx>
        <c:axId val="470386888"/>
        <c:scaling>
          <c:orientation val="minMax"/>
        </c:scaling>
        <c:delete val="1"/>
        <c:axPos val="b"/>
        <c:majorTickMark val="out"/>
        <c:minorTickMark val="none"/>
        <c:tickLblPos val="nextTo"/>
        <c:crossAx val="4703880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2.4989999999999998E-2</c:v>
                </c:pt>
                <c:pt idx="1">
                  <c:v>2.4989999999999998E-2</c:v>
                </c:pt>
                <c:pt idx="2">
                  <c:v>2.4989999999999998E-2</c:v>
                </c:pt>
                <c:pt idx="3">
                  <c:v>2.4989999999999998E-2</c:v>
                </c:pt>
                <c:pt idx="4">
                  <c:v>2.4989999999999998E-2</c:v>
                </c:pt>
                <c:pt idx="5">
                  <c:v>2.4989999999999998E-2</c:v>
                </c:pt>
                <c:pt idx="6">
                  <c:v>2.4989999999999998E-2</c:v>
                </c:pt>
                <c:pt idx="7">
                  <c:v>2.4989999999999998E-2</c:v>
                </c:pt>
                <c:pt idx="8">
                  <c:v>2.5020000000000001E-2</c:v>
                </c:pt>
                <c:pt idx="9">
                  <c:v>2.5020000000000001E-2</c:v>
                </c:pt>
                <c:pt idx="10">
                  <c:v>2.5020000000000001E-2</c:v>
                </c:pt>
                <c:pt idx="11">
                  <c:v>2.5020000000000001E-2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0">
                  <c:v>2.4900000000000002E-2</c:v>
                </c:pt>
                <c:pt idx="1">
                  <c:v>2.4900000000000002E-2</c:v>
                </c:pt>
                <c:pt idx="2">
                  <c:v>2.4989999999999998E-2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5'!$H$26</c:f>
              <c:strCache>
                <c:ptCount val="1"/>
                <c:pt idx="0">
                  <c:v>% Avance acumulado</c:v>
                </c:pt>
              </c:strCache>
            </c:strRef>
          </c:tx>
          <c:val>
            <c:numRef>
              <c:f>'META 5'!$H$27:$H$38</c:f>
              <c:numCache>
                <c:formatCode>0.00%</c:formatCode>
                <c:ptCount val="12"/>
                <c:pt idx="0">
                  <c:v>8.3000000000000004E-2</c:v>
                </c:pt>
                <c:pt idx="1">
                  <c:v>0.16600000000000001</c:v>
                </c:pt>
                <c:pt idx="2">
                  <c:v>0.24930000000000002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max val="2.5000000000000005E-2"/>
          <c:min val="0"/>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#,##0.000_);_(* \(#,##0.000\);_(* "-"??_);_(@_)</c:formatCode>
                <c:ptCount val="12"/>
                <c:pt idx="0">
                  <c:v>2.5379999999999996E-2</c:v>
                </c:pt>
                <c:pt idx="1">
                  <c:v>1.8869999999999998E-2</c:v>
                </c:pt>
                <c:pt idx="2">
                  <c:v>1.89E-2</c:v>
                </c:pt>
                <c:pt idx="3">
                  <c:v>2.6399999999999996E-2</c:v>
                </c:pt>
                <c:pt idx="4">
                  <c:v>2.6129999999999997E-2</c:v>
                </c:pt>
                <c:pt idx="5">
                  <c:v>2.793E-2</c:v>
                </c:pt>
                <c:pt idx="6">
                  <c:v>3.1259999999999996E-2</c:v>
                </c:pt>
                <c:pt idx="7">
                  <c:v>1.95E-2</c:v>
                </c:pt>
                <c:pt idx="8">
                  <c:v>2.5259999999999998E-2</c:v>
                </c:pt>
                <c:pt idx="9">
                  <c:v>1.728E-2</c:v>
                </c:pt>
                <c:pt idx="10">
                  <c:v>1.9230000000000001E-2</c:v>
                </c:pt>
                <c:pt idx="11">
                  <c:v>3.5399999999999994E-2</c:v>
                </c:pt>
              </c:numCache>
            </c:numRef>
          </c:val>
          <c:extLst>
            <c:ext xmlns:c16="http://schemas.microsoft.com/office/drawing/2014/chart" uri="{C3380CC4-5D6E-409C-BE32-E72D297353CC}">
              <c16:uniqueId val="{00000000-6FD6-4FDD-9C4E-21F213ED8945}"/>
            </c:ext>
          </c:extLst>
        </c:ser>
        <c:ser>
          <c:idx val="1"/>
          <c:order val="1"/>
          <c:tx>
            <c:strRef>
              <c:f>'META 6'!$D$26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#,##0.000_);_(* \(#,##0.000\);_(* "-"??_);_(@_)</c:formatCode>
                <c:ptCount val="12"/>
                <c:pt idx="0">
                  <c:v>2.52E-2</c:v>
                </c:pt>
                <c:pt idx="1">
                  <c:v>1.8030000000000001E-2</c:v>
                </c:pt>
                <c:pt idx="2">
                  <c:v>1.533E-2</c:v>
                </c:pt>
              </c:numCache>
            </c:numRef>
          </c:val>
          <c:extLst>
            <c:ext xmlns:c16="http://schemas.microsoft.com/office/drawing/2014/chart" uri="{C3380CC4-5D6E-409C-BE32-E72D297353CC}">
              <c16:uniqueId val="{00000001-6FD6-4FDD-9C4E-21F213ED8945}"/>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6'!$H$26</c:f>
              <c:strCache>
                <c:ptCount val="1"/>
                <c:pt idx="0">
                  <c:v>% Avance acumulado</c:v>
                </c:pt>
              </c:strCache>
            </c:strRef>
          </c:tx>
          <c:val>
            <c:numRef>
              <c:f>'META 6'!$H$27:$H$38</c:f>
              <c:numCache>
                <c:formatCode>0.00%</c:formatCode>
                <c:ptCount val="12"/>
                <c:pt idx="0">
                  <c:v>8.4000000000000005E-2</c:v>
                </c:pt>
                <c:pt idx="1">
                  <c:v>0.14410000000000001</c:v>
                </c:pt>
                <c:pt idx="2">
                  <c:v>0.19520000000000001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FD6-4FDD-9C4E-21F213ED8945}"/>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majorUnit val="5.000000000000001E-3"/>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7'!$C$26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7'!$C$27:$C$38</c:f>
              <c:numCache>
                <c:formatCode>0.000</c:formatCode>
                <c:ptCount val="12"/>
                <c:pt idx="0">
                  <c:v>4.4400000000000004E-3</c:v>
                </c:pt>
                <c:pt idx="1">
                  <c:v>3.2748636363636299E-2</c:v>
                </c:pt>
                <c:pt idx="2">
                  <c:v>4.1987036363636404E-2</c:v>
                </c:pt>
                <c:pt idx="3">
                  <c:v>4.4748636363636296E-2</c:v>
                </c:pt>
                <c:pt idx="4">
                  <c:v>3.9268636363636499E-2</c:v>
                </c:pt>
                <c:pt idx="5">
                  <c:v>2.8975607792207789E-2</c:v>
                </c:pt>
                <c:pt idx="6">
                  <c:v>2.5357207792207799E-2</c:v>
                </c:pt>
                <c:pt idx="7">
                  <c:v>2.4157207792207799E-2</c:v>
                </c:pt>
                <c:pt idx="8">
                  <c:v>2.07156077922078E-2</c:v>
                </c:pt>
                <c:pt idx="9">
                  <c:v>1.7332207792207798E-2</c:v>
                </c:pt>
                <c:pt idx="10">
                  <c:v>1.0132207792207798E-2</c:v>
                </c:pt>
                <c:pt idx="11">
                  <c:v>1.0132207792207798E-2</c:v>
                </c:pt>
              </c:numCache>
            </c:numRef>
          </c:val>
          <c:extLst>
            <c:ext xmlns:c16="http://schemas.microsoft.com/office/drawing/2014/chart" uri="{C3380CC4-5D6E-409C-BE32-E72D297353CC}">
              <c16:uniqueId val="{00000000-C70F-4FC8-A3FD-C63E23C19AFB}"/>
            </c:ext>
          </c:extLst>
        </c:ser>
        <c:ser>
          <c:idx val="1"/>
          <c:order val="1"/>
          <c:tx>
            <c:strRef>
              <c:f>'META 7'!$D$26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7'!$D$27:$D$38</c:f>
              <c:numCache>
                <c:formatCode>0.000</c:formatCode>
                <c:ptCount val="12"/>
                <c:pt idx="0">
                  <c:v>4.4400000000000004E-3</c:v>
                </c:pt>
                <c:pt idx="1">
                  <c:v>2.3148599999999998E-2</c:v>
                </c:pt>
                <c:pt idx="2">
                  <c:v>3.2048159999999999E-2</c:v>
                </c:pt>
              </c:numCache>
            </c:numRef>
          </c:val>
          <c:extLst>
            <c:ext xmlns:c16="http://schemas.microsoft.com/office/drawing/2014/chart" uri="{C3380CC4-5D6E-409C-BE32-E72D297353CC}">
              <c16:uniqueId val="{00000001-C70F-4FC8-A3FD-C63E23C19AF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7'!$H$26</c:f>
              <c:strCache>
                <c:ptCount val="1"/>
                <c:pt idx="0">
                  <c:v>% Avance acumulado</c:v>
                </c:pt>
              </c:strCache>
            </c:strRef>
          </c:tx>
          <c:val>
            <c:numRef>
              <c:f>'META 7'!$H$27:$H$38</c:f>
              <c:numCache>
                <c:formatCode>0.00%</c:formatCode>
                <c:ptCount val="12"/>
                <c:pt idx="0">
                  <c:v>1.4800000000000002E-2</c:v>
                </c:pt>
                <c:pt idx="1">
                  <c:v>9.1962000000000002E-2</c:v>
                </c:pt>
                <c:pt idx="2">
                  <c:v>0.1987892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70F-4FC8-A3FD-C63E23C19AF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44583511373111917"/>
        </c:manualLayout>
      </c:layout>
      <c:overlay val="0"/>
      <c:txPr>
        <a:bodyPr/>
        <a:lstStyle/>
        <a:p>
          <a:pPr>
            <a:defRPr sz="10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9457" name="Object 1" hidden="1">
              <a:extLst>
                <a:ext uri="{63B3BB69-23CF-44E3-9099-C40C66FF867C}">
                  <a14:compatExt spid="_x0000_s35859457"/>
                </a:ext>
                <a:ext uri="{FF2B5EF4-FFF2-40B4-BE49-F238E27FC236}">
                  <a16:creationId xmlns:a16="http://schemas.microsoft.com/office/drawing/2014/main" id="{00000000-0008-0000-0900-0000012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8963</xdr:colOff>
      <xdr:row>38</xdr:row>
      <xdr:rowOff>654424</xdr:rowOff>
    </xdr:from>
    <xdr:to>
      <xdr:col>9</xdr:col>
      <xdr:colOff>11653</xdr:colOff>
      <xdr:row>44</xdr:row>
      <xdr:rowOff>8965</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17930</xdr:colOff>
      <xdr:row>39</xdr:row>
      <xdr:rowOff>6722</xdr:rowOff>
    </xdr:from>
    <xdr:to>
      <xdr:col>9</xdr:col>
      <xdr:colOff>31376</xdr:colOff>
      <xdr:row>43</xdr:row>
      <xdr:rowOff>434789</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9</xdr:col>
      <xdr:colOff>32657</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67234</xdr:colOff>
      <xdr:row>39</xdr:row>
      <xdr:rowOff>33618</xdr:rowOff>
    </xdr:from>
    <xdr:to>
      <xdr:col>9</xdr:col>
      <xdr:colOff>56028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71745" name="Object 1" hidden="1">
              <a:extLst>
                <a:ext uri="{63B3BB69-23CF-44E3-9099-C40C66FF867C}">
                  <a14:compatExt spid="_x0000_s35871745"/>
                </a:ext>
                <a:ext uri="{FF2B5EF4-FFF2-40B4-BE49-F238E27FC236}">
                  <a16:creationId xmlns:a16="http://schemas.microsoft.com/office/drawing/2014/main" id="{00000000-0008-0000-0600-0000015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381000</xdr:colOff>
      <xdr:row>39</xdr:row>
      <xdr:rowOff>133350</xdr:rowOff>
    </xdr:from>
    <xdr:to>
      <xdr:col>7</xdr:col>
      <xdr:colOff>64294</xdr:colOff>
      <xdr:row>43</xdr:row>
      <xdr:rowOff>413656</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8433" name="Object 1" hidden="1">
              <a:extLst>
                <a:ext uri="{63B3BB69-23CF-44E3-9099-C40C66FF867C}">
                  <a14:compatExt spid="_x0000_s35858433"/>
                </a:ext>
                <a:ext uri="{FF2B5EF4-FFF2-40B4-BE49-F238E27FC236}">
                  <a16:creationId xmlns:a16="http://schemas.microsoft.com/office/drawing/2014/main" id="{00000000-0008-0000-0800-0000012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8965</xdr:colOff>
      <xdr:row>38</xdr:row>
      <xdr:rowOff>654422</xdr:rowOff>
    </xdr:from>
    <xdr:to>
      <xdr:col>9</xdr:col>
      <xdr:colOff>11655</xdr:colOff>
      <xdr:row>44</xdr:row>
      <xdr:rowOff>8964</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020\IDPYBA\7550\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refreshError="1"/>
      <sheetData sheetId="1" refreshError="1">
        <row r="9">
          <cell r="N9" t="str">
            <v>Realizar diagnóstico e implementación de cargas laborales del Instituto Distrital de Protección y Bienestar Animal</v>
          </cell>
        </row>
        <row r="13">
          <cell r="N13" t="str">
            <v>Fortalecer los canales de comunicación</v>
          </cell>
        </row>
        <row r="34">
          <cell r="N34" t="str">
            <v>Implementar el Modelo Integrado de Planeación y Gestión- MIPG</v>
          </cell>
        </row>
        <row r="53">
          <cell r="E53" t="str">
            <v>Realizar el fortalecimiento institucional de la estructura orgánica y funcional de la SDA, IDIGER, JBB, E IDPYBA</v>
          </cell>
        </row>
        <row r="60">
          <cell r="N60" t="str">
            <v>Realizar un diagnostico de fortalecimiento institucional que cumpla con las necesidades de los procesos transversales del IDPYBA</v>
          </cell>
        </row>
      </sheetData>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0.85546875" style="74"/>
  </cols>
  <sheetData>
    <row r="2" spans="1:67" s="118" customFormat="1" ht="45.75" customHeight="1" x14ac:dyDescent="0.25">
      <c r="A2" s="297"/>
      <c r="B2" s="297"/>
      <c r="C2" s="294" t="s">
        <v>24</v>
      </c>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324"/>
    </row>
    <row r="3" spans="1:67" s="118" customFormat="1" ht="45.75" customHeight="1" x14ac:dyDescent="0.25">
      <c r="A3" s="297"/>
      <c r="B3" s="297"/>
      <c r="C3" s="294" t="s">
        <v>25</v>
      </c>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325"/>
    </row>
    <row r="4" spans="1:67" s="118" customFormat="1" ht="45.75" customHeight="1" x14ac:dyDescent="0.25">
      <c r="A4" s="297"/>
      <c r="B4" s="297"/>
      <c r="C4" s="294" t="s">
        <v>198</v>
      </c>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325"/>
    </row>
    <row r="5" spans="1:67" s="118" customFormat="1" ht="45.75" customHeight="1" x14ac:dyDescent="0.25">
      <c r="A5" s="297"/>
      <c r="B5" s="297"/>
      <c r="C5" s="304" t="s">
        <v>29</v>
      </c>
      <c r="D5" s="304"/>
      <c r="E5" s="304"/>
      <c r="F5" s="304"/>
      <c r="G5" s="304"/>
      <c r="H5" s="304"/>
      <c r="I5" s="304"/>
      <c r="J5" s="304"/>
      <c r="K5" s="304"/>
      <c r="L5" s="304"/>
      <c r="M5" s="304"/>
      <c r="N5" s="304"/>
      <c r="O5" s="304"/>
      <c r="P5" s="304"/>
      <c r="Q5" s="304"/>
      <c r="R5" s="322" t="s">
        <v>189</v>
      </c>
      <c r="S5" s="322"/>
      <c r="T5" s="322"/>
      <c r="U5" s="322"/>
      <c r="V5" s="322"/>
      <c r="W5" s="322"/>
      <c r="X5" s="322"/>
      <c r="Y5" s="322"/>
      <c r="Z5" s="322"/>
      <c r="AA5" s="322"/>
      <c r="AB5" s="322"/>
      <c r="AC5" s="322"/>
      <c r="AD5" s="322"/>
      <c r="AE5" s="322"/>
      <c r="AF5" s="326"/>
    </row>
    <row r="6" spans="1:67" s="119" customFormat="1" ht="30.75" customHeight="1" x14ac:dyDescent="0.25">
      <c r="D6" s="120"/>
      <c r="K6" s="121"/>
      <c r="AA6" s="122"/>
    </row>
    <row r="7" spans="1:67" s="119" customFormat="1" ht="42" customHeight="1" x14ac:dyDescent="0.25">
      <c r="B7" s="123" t="s">
        <v>32</v>
      </c>
      <c r="C7" s="296" t="e">
        <f>+#REF!</f>
        <v>#REF!</v>
      </c>
      <c r="D7" s="296"/>
      <c r="E7" s="296"/>
      <c r="F7" s="296"/>
      <c r="G7" s="296"/>
      <c r="K7" s="121"/>
      <c r="AA7" s="122"/>
    </row>
    <row r="8" spans="1:67" s="119" customFormat="1" ht="42" customHeight="1" x14ac:dyDescent="0.25">
      <c r="B8" s="123" t="s">
        <v>1</v>
      </c>
      <c r="C8" s="296" t="e">
        <f>+#REF!</f>
        <v>#REF!</v>
      </c>
      <c r="D8" s="296"/>
      <c r="E8" s="296"/>
      <c r="F8" s="296"/>
      <c r="G8" s="296"/>
      <c r="K8" s="121"/>
      <c r="AA8" s="122"/>
    </row>
    <row r="9" spans="1:67" s="119" customFormat="1" ht="42" customHeight="1" x14ac:dyDescent="0.25">
      <c r="B9" s="124" t="s">
        <v>30</v>
      </c>
      <c r="C9" s="296" t="e">
        <f>+#REF!</f>
        <v>#REF!</v>
      </c>
      <c r="D9" s="296"/>
      <c r="E9" s="296"/>
      <c r="F9" s="296"/>
      <c r="G9" s="296"/>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313" t="str">
        <f>+'[1]Sección 1. Metas - Magnitud'!B13</f>
        <v>PLAN DE DESARROLLO - BOGOTÁ MEJOR PARA TODOS 2016-2020</v>
      </c>
      <c r="B11" s="314"/>
      <c r="C11" s="314"/>
      <c r="D11" s="314"/>
      <c r="E11" s="314"/>
      <c r="F11" s="314"/>
      <c r="G11" s="314"/>
      <c r="H11" s="315"/>
      <c r="I11" s="328" t="s">
        <v>36</v>
      </c>
      <c r="J11" s="329"/>
      <c r="K11" s="329"/>
      <c r="L11" s="329"/>
      <c r="M11" s="329"/>
      <c r="N11" s="330"/>
      <c r="O11" s="323" t="s">
        <v>38</v>
      </c>
      <c r="P11" s="323"/>
      <c r="Q11" s="323"/>
      <c r="R11" s="323"/>
      <c r="S11" s="323"/>
      <c r="T11" s="323"/>
      <c r="U11" s="323"/>
      <c r="V11" s="323"/>
      <c r="W11" s="323"/>
      <c r="X11" s="323"/>
      <c r="Y11" s="323"/>
      <c r="Z11" s="323"/>
      <c r="AA11" s="323"/>
      <c r="AB11" s="323"/>
      <c r="AC11" s="323"/>
      <c r="AD11" s="313" t="s">
        <v>18</v>
      </c>
      <c r="AE11" s="314"/>
      <c r="AF11" s="31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95" t="s">
        <v>154</v>
      </c>
      <c r="B13" s="295" t="str">
        <f>+'[2]Sección 1. Metas - Magnitud'!I15</f>
        <v>Demarcar 2.600 kilómetro carril de vías</v>
      </c>
      <c r="C13" s="295">
        <v>224</v>
      </c>
      <c r="D13" s="295" t="s">
        <v>187</v>
      </c>
      <c r="E13" s="295">
        <v>171</v>
      </c>
      <c r="F13" s="327" t="s">
        <v>175</v>
      </c>
      <c r="G13" s="295" t="s">
        <v>152</v>
      </c>
      <c r="H13" s="295" t="s">
        <v>70</v>
      </c>
      <c r="I13" s="305" t="e">
        <f>SUM(J13:N14)</f>
        <v>#REF!</v>
      </c>
      <c r="J13" s="302" t="e">
        <f>+#REF!</f>
        <v>#REF!</v>
      </c>
      <c r="K13" s="331" t="e">
        <f>+#REF!</f>
        <v>#REF!</v>
      </c>
      <c r="L13" s="300" t="e">
        <f>+#REF!</f>
        <v>#REF!</v>
      </c>
      <c r="M13" s="302" t="e">
        <f>+#REF!</f>
        <v>#REF!</v>
      </c>
      <c r="N13" s="302" t="e">
        <f>+#REF!</f>
        <v>#REF!</v>
      </c>
      <c r="O13" s="306" t="e">
        <f>+#REF!</f>
        <v>#REF!</v>
      </c>
      <c r="P13" s="306">
        <v>6.45</v>
      </c>
      <c r="Q13" s="306">
        <v>31.03</v>
      </c>
      <c r="R13" s="306"/>
      <c r="S13" s="306" t="e">
        <f>+#REF!</f>
        <v>#REF!</v>
      </c>
      <c r="T13" s="306" t="e">
        <f>+#REF!</f>
        <v>#REF!</v>
      </c>
      <c r="U13" s="306" t="e">
        <f>+#REF!</f>
        <v>#REF!</v>
      </c>
      <c r="V13" s="306" t="e">
        <f>+#REF!</f>
        <v>#REF!</v>
      </c>
      <c r="W13" s="306" t="e">
        <f>+#REF!</f>
        <v>#REF!</v>
      </c>
      <c r="X13" s="306" t="e">
        <f>+#REF!</f>
        <v>#REF!</v>
      </c>
      <c r="Y13" s="306" t="e">
        <f>+#REF!</f>
        <v>#REF!</v>
      </c>
      <c r="Z13" s="306" t="e">
        <f>+#REF!</f>
        <v>#REF!</v>
      </c>
      <c r="AA13" s="311" t="e">
        <f>SUM(O13:Z14)</f>
        <v>#REF!</v>
      </c>
      <c r="AB13" s="308" t="e">
        <f>+AA13/K13</f>
        <v>#REF!</v>
      </c>
      <c r="AC13" s="308" t="e">
        <f>+(J13+AA13)/I13</f>
        <v>#REF!</v>
      </c>
      <c r="AD13" s="309" t="s">
        <v>219</v>
      </c>
      <c r="AE13" s="298" t="s">
        <v>223</v>
      </c>
      <c r="AF13" s="309"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95"/>
      <c r="B14" s="295"/>
      <c r="C14" s="295"/>
      <c r="D14" s="295"/>
      <c r="E14" s="295"/>
      <c r="F14" s="327"/>
      <c r="G14" s="295"/>
      <c r="H14" s="295"/>
      <c r="I14" s="305"/>
      <c r="J14" s="303"/>
      <c r="K14" s="332"/>
      <c r="L14" s="301"/>
      <c r="M14" s="303"/>
      <c r="N14" s="303"/>
      <c r="O14" s="307"/>
      <c r="P14" s="307"/>
      <c r="Q14" s="307"/>
      <c r="R14" s="307"/>
      <c r="S14" s="307"/>
      <c r="T14" s="307"/>
      <c r="U14" s="307"/>
      <c r="V14" s="307"/>
      <c r="W14" s="307"/>
      <c r="X14" s="307"/>
      <c r="Y14" s="307"/>
      <c r="Z14" s="307"/>
      <c r="AA14" s="312"/>
      <c r="AB14" s="308"/>
      <c r="AC14" s="308"/>
      <c r="AD14" s="310"/>
      <c r="AE14" s="299"/>
      <c r="AF14" s="310"/>
    </row>
    <row r="15" spans="1:67" ht="89.25" customHeight="1" x14ac:dyDescent="0.25">
      <c r="A15" s="295" t="s">
        <v>154</v>
      </c>
      <c r="B15" s="295" t="str">
        <f>+'[2]Sección 1. Metas - Magnitud'!I18</f>
        <v>Instalar 35.000 señales verticales de pedestal</v>
      </c>
      <c r="C15" s="295">
        <v>223</v>
      </c>
      <c r="D15" s="295" t="s">
        <v>188</v>
      </c>
      <c r="E15" s="295">
        <v>170</v>
      </c>
      <c r="F15" s="327" t="s">
        <v>174</v>
      </c>
      <c r="G15" s="295" t="s">
        <v>152</v>
      </c>
      <c r="H15" s="295" t="s">
        <v>70</v>
      </c>
      <c r="I15" s="305" t="e">
        <f>SUM(J15:N16)</f>
        <v>#REF!</v>
      </c>
      <c r="J15" s="320" t="e">
        <f>+#REF!</f>
        <v>#REF!</v>
      </c>
      <c r="K15" s="316" t="e">
        <f>+#REF!</f>
        <v>#REF!</v>
      </c>
      <c r="L15" s="318" t="e">
        <f>+#REF!</f>
        <v>#REF!</v>
      </c>
      <c r="M15" s="320" t="e">
        <f>+#REF!</f>
        <v>#REF!</v>
      </c>
      <c r="N15" s="320" t="e">
        <f>+#REF!</f>
        <v>#REF!</v>
      </c>
      <c r="O15" s="306">
        <v>53</v>
      </c>
      <c r="P15" s="306">
        <v>712</v>
      </c>
      <c r="Q15" s="306">
        <v>881</v>
      </c>
      <c r="R15" s="306"/>
      <c r="S15" s="306" t="e">
        <f>+#REF!</f>
        <v>#REF!</v>
      </c>
      <c r="T15" s="306" t="e">
        <f>+#REF!</f>
        <v>#REF!</v>
      </c>
      <c r="U15" s="306" t="e">
        <f>+#REF!</f>
        <v>#REF!</v>
      </c>
      <c r="V15" s="306" t="e">
        <f>+#REF!</f>
        <v>#REF!</v>
      </c>
      <c r="W15" s="306" t="e">
        <f>+#REF!</f>
        <v>#REF!</v>
      </c>
      <c r="X15" s="306" t="e">
        <f>+#REF!</f>
        <v>#REF!</v>
      </c>
      <c r="Y15" s="306" t="e">
        <f>+#REF!</f>
        <v>#REF!</v>
      </c>
      <c r="Z15" s="306" t="e">
        <f>+#REF!</f>
        <v>#REF!</v>
      </c>
      <c r="AA15" s="311" t="e">
        <f>SUM(O15:Z16)</f>
        <v>#REF!</v>
      </c>
      <c r="AB15" s="308" t="e">
        <f>+AA15/K15</f>
        <v>#REF!</v>
      </c>
      <c r="AC15" s="308" t="e">
        <f>+(J15+AA15)/I15</f>
        <v>#REF!</v>
      </c>
      <c r="AD15" s="309" t="s">
        <v>221</v>
      </c>
      <c r="AE15" s="298" t="s">
        <v>223</v>
      </c>
      <c r="AF15" s="309" t="s">
        <v>222</v>
      </c>
    </row>
    <row r="16" spans="1:67" ht="140.25" customHeight="1" x14ac:dyDescent="0.25">
      <c r="A16" s="295"/>
      <c r="B16" s="295"/>
      <c r="C16" s="295"/>
      <c r="D16" s="295"/>
      <c r="E16" s="295"/>
      <c r="F16" s="327"/>
      <c r="G16" s="295"/>
      <c r="H16" s="295"/>
      <c r="I16" s="305"/>
      <c r="J16" s="321"/>
      <c r="K16" s="317"/>
      <c r="L16" s="319"/>
      <c r="M16" s="321"/>
      <c r="N16" s="321"/>
      <c r="O16" s="307"/>
      <c r="P16" s="307"/>
      <c r="Q16" s="307"/>
      <c r="R16" s="307"/>
      <c r="S16" s="307"/>
      <c r="T16" s="307"/>
      <c r="U16" s="307"/>
      <c r="V16" s="307"/>
      <c r="W16" s="307"/>
      <c r="X16" s="307"/>
      <c r="Y16" s="307"/>
      <c r="Z16" s="307"/>
      <c r="AA16" s="312"/>
      <c r="AB16" s="308"/>
      <c r="AC16" s="308"/>
      <c r="AD16" s="310"/>
      <c r="AE16" s="299"/>
      <c r="AF16" s="310"/>
    </row>
    <row r="17" spans="1:32" ht="62.25" customHeight="1" x14ac:dyDescent="0.25">
      <c r="A17" s="295" t="s">
        <v>154</v>
      </c>
      <c r="B17" s="351" t="str">
        <f>+'[2]Sección 1. Metas - Magnitud'!I45</f>
        <v>Realizar el 100% de las actividades para la segunda fase del Sistema Inteligente de Tranporte - SIT</v>
      </c>
      <c r="C17" s="295">
        <v>231</v>
      </c>
      <c r="D17" s="295" t="s">
        <v>176</v>
      </c>
      <c r="E17" s="295">
        <v>178</v>
      </c>
      <c r="F17" s="327" t="s">
        <v>177</v>
      </c>
      <c r="G17" s="295" t="s">
        <v>151</v>
      </c>
      <c r="H17" s="295" t="s">
        <v>70</v>
      </c>
      <c r="I17" s="333">
        <f>SUM(J17:N18)</f>
        <v>1</v>
      </c>
      <c r="J17" s="362">
        <v>0.05</v>
      </c>
      <c r="K17" s="349">
        <v>0.28999999999999998</v>
      </c>
      <c r="L17" s="352">
        <v>0.25</v>
      </c>
      <c r="M17" s="349">
        <v>0.4</v>
      </c>
      <c r="N17" s="349">
        <v>0.01</v>
      </c>
      <c r="O17" s="354">
        <v>0.19</v>
      </c>
      <c r="P17" s="355"/>
      <c r="Q17" s="355"/>
      <c r="R17" s="358">
        <v>0</v>
      </c>
      <c r="S17" s="359"/>
      <c r="T17" s="359"/>
      <c r="U17" s="337">
        <v>0</v>
      </c>
      <c r="V17" s="338"/>
      <c r="W17" s="338"/>
      <c r="X17" s="337">
        <v>0</v>
      </c>
      <c r="Y17" s="338"/>
      <c r="Z17" s="338"/>
      <c r="AA17" s="341">
        <f>+R17+O17+U17+X17</f>
        <v>0.19</v>
      </c>
      <c r="AB17" s="308">
        <f>+AA17/K17</f>
        <v>0.65517241379310354</v>
      </c>
      <c r="AC17" s="308">
        <f>+(J17+AA17)/I17</f>
        <v>0.24</v>
      </c>
      <c r="AD17" s="335" t="s">
        <v>224</v>
      </c>
      <c r="AE17" s="298" t="s">
        <v>223</v>
      </c>
      <c r="AF17" s="335" t="s">
        <v>225</v>
      </c>
    </row>
    <row r="18" spans="1:32" ht="200.25" customHeight="1" x14ac:dyDescent="0.25">
      <c r="A18" s="295"/>
      <c r="B18" s="351"/>
      <c r="C18" s="295"/>
      <c r="D18" s="295"/>
      <c r="E18" s="295"/>
      <c r="F18" s="327"/>
      <c r="G18" s="295"/>
      <c r="H18" s="295"/>
      <c r="I18" s="334"/>
      <c r="J18" s="363"/>
      <c r="K18" s="350"/>
      <c r="L18" s="353"/>
      <c r="M18" s="350"/>
      <c r="N18" s="350"/>
      <c r="O18" s="356"/>
      <c r="P18" s="357"/>
      <c r="Q18" s="357"/>
      <c r="R18" s="360"/>
      <c r="S18" s="361"/>
      <c r="T18" s="361"/>
      <c r="U18" s="339"/>
      <c r="V18" s="340"/>
      <c r="W18" s="340"/>
      <c r="X18" s="339"/>
      <c r="Y18" s="340"/>
      <c r="Z18" s="340"/>
      <c r="AA18" s="342"/>
      <c r="AB18" s="308"/>
      <c r="AC18" s="308"/>
      <c r="AD18" s="336"/>
      <c r="AE18" s="299"/>
      <c r="AF18" s="336"/>
    </row>
    <row r="19" spans="1:32" ht="62.25" customHeight="1" x14ac:dyDescent="0.25">
      <c r="A19" s="295" t="s">
        <v>154</v>
      </c>
      <c r="B19" s="351" t="str">
        <f>+'[2]Sección 1. Metas - Magnitud'!I48</f>
        <v>Realizar el 100% de las actividades para la segunda fase de Semáforos Inteligentes.</v>
      </c>
      <c r="C19" s="295">
        <v>232</v>
      </c>
      <c r="D19" s="295" t="s">
        <v>178</v>
      </c>
      <c r="E19" s="295">
        <v>179</v>
      </c>
      <c r="F19" s="327" t="s">
        <v>179</v>
      </c>
      <c r="G19" s="295" t="s">
        <v>151</v>
      </c>
      <c r="H19" s="295" t="s">
        <v>70</v>
      </c>
      <c r="I19" s="333">
        <f>SUM(J19:N20)</f>
        <v>1</v>
      </c>
      <c r="J19" s="362">
        <v>0.01</v>
      </c>
      <c r="K19" s="349">
        <v>0.15</v>
      </c>
      <c r="L19" s="352">
        <v>0.42</v>
      </c>
      <c r="M19" s="349">
        <v>0.42</v>
      </c>
      <c r="N19" s="349">
        <v>0</v>
      </c>
      <c r="O19" s="345">
        <v>0.35</v>
      </c>
      <c r="P19" s="346"/>
      <c r="Q19" s="346"/>
      <c r="R19" s="354">
        <v>0</v>
      </c>
      <c r="S19" s="355"/>
      <c r="T19" s="355"/>
      <c r="U19" s="345">
        <v>0</v>
      </c>
      <c r="V19" s="346"/>
      <c r="W19" s="346"/>
      <c r="X19" s="345">
        <v>0</v>
      </c>
      <c r="Y19" s="346"/>
      <c r="Z19" s="346"/>
      <c r="AA19" s="343">
        <f>+R19+O19+U19+X19</f>
        <v>0.35</v>
      </c>
      <c r="AB19" s="308">
        <f>+AA19/K19</f>
        <v>2.3333333333333335</v>
      </c>
      <c r="AC19" s="308">
        <f>+(J19+AA19)/I19</f>
        <v>0.36</v>
      </c>
      <c r="AD19" s="335" t="s">
        <v>227</v>
      </c>
      <c r="AE19" s="298" t="s">
        <v>223</v>
      </c>
      <c r="AF19" s="335" t="s">
        <v>225</v>
      </c>
    </row>
    <row r="20" spans="1:32" ht="298.5" customHeight="1" x14ac:dyDescent="0.25">
      <c r="A20" s="295"/>
      <c r="B20" s="351"/>
      <c r="C20" s="295"/>
      <c r="D20" s="295"/>
      <c r="E20" s="295"/>
      <c r="F20" s="327"/>
      <c r="G20" s="295"/>
      <c r="H20" s="295"/>
      <c r="I20" s="334"/>
      <c r="J20" s="363"/>
      <c r="K20" s="350"/>
      <c r="L20" s="353"/>
      <c r="M20" s="350"/>
      <c r="N20" s="350"/>
      <c r="O20" s="347"/>
      <c r="P20" s="348"/>
      <c r="Q20" s="348"/>
      <c r="R20" s="356"/>
      <c r="S20" s="357"/>
      <c r="T20" s="357"/>
      <c r="U20" s="347"/>
      <c r="V20" s="348"/>
      <c r="W20" s="348"/>
      <c r="X20" s="347"/>
      <c r="Y20" s="348"/>
      <c r="Z20" s="348"/>
      <c r="AA20" s="344"/>
      <c r="AB20" s="308"/>
      <c r="AC20" s="308"/>
      <c r="AD20" s="336"/>
      <c r="AE20" s="299"/>
      <c r="AF20" s="336"/>
    </row>
    <row r="21" spans="1:32" ht="62.25" customHeight="1" x14ac:dyDescent="0.25">
      <c r="A21" s="295" t="s">
        <v>154</v>
      </c>
      <c r="B21" s="351" t="str">
        <f>+'[2]Sección 1. Metas - Magnitud'!I51</f>
        <v>Realizar el 100% de las actividades para la primera fase de Detección Electrónica DEI</v>
      </c>
      <c r="C21" s="295">
        <v>233</v>
      </c>
      <c r="D21" s="295" t="s">
        <v>180</v>
      </c>
      <c r="E21" s="295">
        <v>180</v>
      </c>
      <c r="F21" s="327" t="s">
        <v>181</v>
      </c>
      <c r="G21" s="295" t="s">
        <v>151</v>
      </c>
      <c r="H21" s="295" t="s">
        <v>70</v>
      </c>
      <c r="I21" s="333">
        <f>SUM(J21:N22)</f>
        <v>1</v>
      </c>
      <c r="J21" s="362">
        <v>0.01</v>
      </c>
      <c r="K21" s="349">
        <v>0.1</v>
      </c>
      <c r="L21" s="352">
        <v>0.3</v>
      </c>
      <c r="M21" s="349">
        <v>0.55000000000000004</v>
      </c>
      <c r="N21" s="349">
        <v>0.04</v>
      </c>
      <c r="O21" s="345">
        <v>4.4999999999999998E-2</v>
      </c>
      <c r="P21" s="346"/>
      <c r="Q21" s="346"/>
      <c r="R21" s="345">
        <v>0</v>
      </c>
      <c r="S21" s="346"/>
      <c r="T21" s="346"/>
      <c r="U21" s="345">
        <v>0</v>
      </c>
      <c r="V21" s="346"/>
      <c r="W21" s="346"/>
      <c r="X21" s="345">
        <v>0</v>
      </c>
      <c r="Y21" s="346"/>
      <c r="Z21" s="346"/>
      <c r="AA21" s="343">
        <f>+R21+O21+U21+X21</f>
        <v>4.4999999999999998E-2</v>
      </c>
      <c r="AB21" s="308">
        <f>+AA21/K21</f>
        <v>0.44999999999999996</v>
      </c>
      <c r="AC21" s="308">
        <f>+(J21+AA21)/I21</f>
        <v>5.5E-2</v>
      </c>
      <c r="AD21" s="335" t="s">
        <v>228</v>
      </c>
      <c r="AE21" s="298" t="s">
        <v>223</v>
      </c>
      <c r="AF21" s="335" t="s">
        <v>225</v>
      </c>
    </row>
    <row r="22" spans="1:32" ht="124.5" customHeight="1" x14ac:dyDescent="0.25">
      <c r="A22" s="295"/>
      <c r="B22" s="351"/>
      <c r="C22" s="295"/>
      <c r="D22" s="295"/>
      <c r="E22" s="295"/>
      <c r="F22" s="327"/>
      <c r="G22" s="295"/>
      <c r="H22" s="295"/>
      <c r="I22" s="334"/>
      <c r="J22" s="363"/>
      <c r="K22" s="350"/>
      <c r="L22" s="353"/>
      <c r="M22" s="350"/>
      <c r="N22" s="350"/>
      <c r="O22" s="347"/>
      <c r="P22" s="348"/>
      <c r="Q22" s="348"/>
      <c r="R22" s="347"/>
      <c r="S22" s="348"/>
      <c r="T22" s="348"/>
      <c r="U22" s="347"/>
      <c r="V22" s="348"/>
      <c r="W22" s="348"/>
      <c r="X22" s="347"/>
      <c r="Y22" s="348"/>
      <c r="Z22" s="348"/>
      <c r="AA22" s="344"/>
      <c r="AB22" s="308"/>
      <c r="AC22" s="308"/>
      <c r="AD22" s="336"/>
      <c r="AE22" s="299"/>
      <c r="AF22" s="33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8D67-DFC3-4D93-95A3-BA2B31D20AFB}">
  <sheetPr>
    <tabColor rgb="FF92D050"/>
  </sheetPr>
  <dimension ref="B1:X61"/>
  <sheetViews>
    <sheetView topLeftCell="A23" zoomScaleNormal="100" zoomScaleSheetLayoutView="50" zoomScalePageLayoutView="85" workbookViewId="0">
      <selection activeCell="H27" sqref="H27"/>
    </sheetView>
  </sheetViews>
  <sheetFormatPr baseColWidth="10" defaultColWidth="10.85546875" defaultRowHeight="12.75" x14ac:dyDescent="0.2"/>
  <cols>
    <col min="1" max="1" width="1" style="173" customWidth="1"/>
    <col min="2" max="2" width="25.42578125" style="208" customWidth="1"/>
    <col min="3" max="3" width="14.42578125" style="173" customWidth="1"/>
    <col min="4" max="4" width="14.7109375" style="173" customWidth="1"/>
    <col min="5" max="5" width="16.42578125" style="173" customWidth="1"/>
    <col min="6" max="6" width="25" style="173" customWidth="1"/>
    <col min="7" max="7" width="22" style="208" customWidth="1"/>
    <col min="8" max="8" width="20.42578125" style="173" customWidth="1"/>
    <col min="9" max="11" width="22.42578125" style="173" customWidth="1"/>
    <col min="12" max="24" width="10.85546875" style="171"/>
    <col min="25" max="16384" width="10.85546875" style="173"/>
  </cols>
  <sheetData>
    <row r="1" spans="2:14" ht="37.5" customHeight="1" x14ac:dyDescent="0.2">
      <c r="B1" s="501"/>
      <c r="C1" s="504" t="s">
        <v>25</v>
      </c>
      <c r="D1" s="504"/>
      <c r="E1" s="504"/>
      <c r="F1" s="504"/>
      <c r="G1" s="504"/>
      <c r="H1" s="504"/>
      <c r="I1" s="505"/>
      <c r="J1" s="170"/>
      <c r="K1" s="170"/>
      <c r="M1" s="172" t="s">
        <v>47</v>
      </c>
    </row>
    <row r="2" spans="2:14" ht="37.5" customHeight="1" x14ac:dyDescent="0.2">
      <c r="B2" s="502"/>
      <c r="C2" s="508" t="s">
        <v>239</v>
      </c>
      <c r="D2" s="508"/>
      <c r="E2" s="508"/>
      <c r="F2" s="508"/>
      <c r="G2" s="508"/>
      <c r="H2" s="508"/>
      <c r="I2" s="506"/>
      <c r="J2" s="170"/>
      <c r="K2" s="170"/>
      <c r="M2" s="172" t="s">
        <v>48</v>
      </c>
    </row>
    <row r="3" spans="2:14" ht="37.5" customHeight="1" thickBot="1" x14ac:dyDescent="0.25">
      <c r="B3" s="503"/>
      <c r="C3" s="509" t="s">
        <v>240</v>
      </c>
      <c r="D3" s="509"/>
      <c r="E3" s="509"/>
      <c r="F3" s="509" t="s">
        <v>241</v>
      </c>
      <c r="G3" s="509"/>
      <c r="H3" s="509"/>
      <c r="I3" s="507"/>
      <c r="J3" s="170"/>
      <c r="K3" s="170"/>
      <c r="M3" s="172" t="s">
        <v>50</v>
      </c>
    </row>
    <row r="4" spans="2:14" ht="23.25" customHeight="1" x14ac:dyDescent="0.2">
      <c r="B4" s="510"/>
      <c r="C4" s="511"/>
      <c r="D4" s="511"/>
      <c r="E4" s="511"/>
      <c r="F4" s="511"/>
      <c r="G4" s="511"/>
      <c r="H4" s="511"/>
      <c r="I4" s="512"/>
      <c r="J4" s="174"/>
      <c r="K4" s="174"/>
    </row>
    <row r="5" spans="2:14" ht="24" customHeight="1" x14ac:dyDescent="0.2">
      <c r="B5" s="513" t="s">
        <v>234</v>
      </c>
      <c r="C5" s="514"/>
      <c r="D5" s="514"/>
      <c r="E5" s="514"/>
      <c r="F5" s="514"/>
      <c r="G5" s="514"/>
      <c r="H5" s="514"/>
      <c r="I5" s="515"/>
      <c r="J5" s="175"/>
      <c r="K5" s="175"/>
      <c r="N5" s="176" t="s">
        <v>57</v>
      </c>
    </row>
    <row r="6" spans="2:14" ht="46.15" customHeight="1" x14ac:dyDescent="0.2">
      <c r="B6" s="224" t="s">
        <v>242</v>
      </c>
      <c r="C6" s="222">
        <v>7</v>
      </c>
      <c r="D6" s="516" t="s">
        <v>243</v>
      </c>
      <c r="E6" s="516"/>
      <c r="F6" s="517" t="s">
        <v>301</v>
      </c>
      <c r="G6" s="517"/>
      <c r="H6" s="517"/>
      <c r="I6" s="518"/>
      <c r="J6" s="177"/>
      <c r="K6" s="177"/>
      <c r="M6" s="172" t="s">
        <v>60</v>
      </c>
      <c r="N6" s="176" t="s">
        <v>61</v>
      </c>
    </row>
    <row r="7" spans="2:14" ht="30.75" customHeight="1" x14ac:dyDescent="0.2">
      <c r="B7" s="224" t="s">
        <v>244</v>
      </c>
      <c r="C7" s="222" t="s">
        <v>81</v>
      </c>
      <c r="D7" s="516" t="s">
        <v>245</v>
      </c>
      <c r="E7" s="516"/>
      <c r="F7" s="517" t="s">
        <v>302</v>
      </c>
      <c r="G7" s="517"/>
      <c r="H7" s="178" t="s">
        <v>246</v>
      </c>
      <c r="I7" s="223" t="s">
        <v>81</v>
      </c>
      <c r="J7" s="179"/>
      <c r="K7" s="179"/>
      <c r="M7" s="172" t="s">
        <v>65</v>
      </c>
      <c r="N7" s="176" t="s">
        <v>66</v>
      </c>
    </row>
    <row r="8" spans="2:14" ht="30.75" customHeight="1" x14ac:dyDescent="0.2">
      <c r="B8" s="224" t="s">
        <v>247</v>
      </c>
      <c r="C8" s="517" t="s">
        <v>289</v>
      </c>
      <c r="D8" s="517"/>
      <c r="E8" s="517"/>
      <c r="F8" s="517"/>
      <c r="G8" s="178" t="s">
        <v>248</v>
      </c>
      <c r="H8" s="522">
        <v>7550</v>
      </c>
      <c r="I8" s="523"/>
      <c r="J8" s="180"/>
      <c r="K8" s="180"/>
      <c r="M8" s="172" t="s">
        <v>69</v>
      </c>
      <c r="N8" s="176" t="s">
        <v>70</v>
      </c>
    </row>
    <row r="9" spans="2:14" ht="30.75" customHeight="1" x14ac:dyDescent="0.2">
      <c r="B9" s="224" t="s">
        <v>48</v>
      </c>
      <c r="C9" s="524" t="s">
        <v>60</v>
      </c>
      <c r="D9" s="524"/>
      <c r="E9" s="524"/>
      <c r="F9" s="524"/>
      <c r="G9" s="178" t="s">
        <v>249</v>
      </c>
      <c r="H9" s="525" t="s">
        <v>299</v>
      </c>
      <c r="I9" s="526"/>
      <c r="J9" s="181"/>
      <c r="K9" s="181"/>
      <c r="M9" s="182" t="s">
        <v>73</v>
      </c>
    </row>
    <row r="10" spans="2:14" ht="58.9" customHeight="1" x14ac:dyDescent="0.2">
      <c r="B10" s="224" t="s">
        <v>250</v>
      </c>
      <c r="C10" s="517" t="s">
        <v>374</v>
      </c>
      <c r="D10" s="517"/>
      <c r="E10" s="517"/>
      <c r="F10" s="517"/>
      <c r="G10" s="517"/>
      <c r="H10" s="517"/>
      <c r="I10" s="518"/>
      <c r="J10" s="183"/>
      <c r="K10" s="183"/>
      <c r="M10" s="182"/>
    </row>
    <row r="11" spans="2:14" ht="30.75" customHeight="1" x14ac:dyDescent="0.2">
      <c r="B11" s="224" t="s">
        <v>251</v>
      </c>
      <c r="C11" s="519" t="str">
        <f>'[7]Proyecto 7550'!$E$53</f>
        <v>Realizar el fortalecimiento institucional de la estructura orgánica y funcional de la SDA, IDIGER, JBB, E IDPYBA</v>
      </c>
      <c r="D11" s="519"/>
      <c r="E11" s="519"/>
      <c r="F11" s="519"/>
      <c r="G11" s="519"/>
      <c r="H11" s="519"/>
      <c r="I11" s="728"/>
      <c r="J11" s="179"/>
      <c r="K11" s="179"/>
      <c r="M11" s="182"/>
      <c r="N11" s="176" t="s">
        <v>76</v>
      </c>
    </row>
    <row r="12" spans="2:14" ht="30.75" customHeight="1" x14ac:dyDescent="0.2">
      <c r="B12" s="224" t="s">
        <v>254</v>
      </c>
      <c r="C12" s="520" t="s">
        <v>300</v>
      </c>
      <c r="D12" s="520"/>
      <c r="E12" s="520"/>
      <c r="F12" s="520"/>
      <c r="G12" s="178" t="s">
        <v>252</v>
      </c>
      <c r="H12" s="547" t="s">
        <v>91</v>
      </c>
      <c r="I12" s="548"/>
      <c r="J12" s="179"/>
      <c r="K12" s="179"/>
      <c r="M12" s="182" t="s">
        <v>80</v>
      </c>
      <c r="N12" s="176" t="s">
        <v>81</v>
      </c>
    </row>
    <row r="13" spans="2:14" ht="30.75" customHeight="1" x14ac:dyDescent="0.2">
      <c r="B13" s="224" t="s">
        <v>255</v>
      </c>
      <c r="C13" s="531" t="s">
        <v>346</v>
      </c>
      <c r="D13" s="531"/>
      <c r="E13" s="531"/>
      <c r="F13" s="531"/>
      <c r="G13" s="178" t="s">
        <v>253</v>
      </c>
      <c r="H13" s="519" t="s">
        <v>57</v>
      </c>
      <c r="I13" s="728"/>
      <c r="J13" s="179"/>
      <c r="K13" s="179"/>
      <c r="M13" s="182" t="s">
        <v>84</v>
      </c>
    </row>
    <row r="14" spans="2:14" ht="30" customHeight="1" x14ac:dyDescent="0.2">
      <c r="B14" s="224" t="s">
        <v>256</v>
      </c>
      <c r="C14" s="520" t="s">
        <v>317</v>
      </c>
      <c r="D14" s="520"/>
      <c r="E14" s="520"/>
      <c r="F14" s="520"/>
      <c r="G14" s="520"/>
      <c r="H14" s="520"/>
      <c r="I14" s="521"/>
      <c r="J14" s="183"/>
      <c r="K14" s="183"/>
      <c r="M14" s="182" t="s">
        <v>86</v>
      </c>
      <c r="N14" s="176"/>
    </row>
    <row r="15" spans="2:14" ht="30.75" customHeight="1" x14ac:dyDescent="0.2">
      <c r="B15" s="224" t="s">
        <v>257</v>
      </c>
      <c r="C15" s="520" t="s">
        <v>315</v>
      </c>
      <c r="D15" s="520"/>
      <c r="E15" s="520"/>
      <c r="F15" s="520"/>
      <c r="G15" s="520"/>
      <c r="H15" s="520"/>
      <c r="I15" s="521"/>
      <c r="J15" s="184"/>
      <c r="K15" s="184"/>
      <c r="M15" s="182" t="s">
        <v>88</v>
      </c>
      <c r="N15" s="176"/>
    </row>
    <row r="16" spans="2:14" ht="42.6" customHeight="1" x14ac:dyDescent="0.2">
      <c r="B16" s="224" t="s">
        <v>258</v>
      </c>
      <c r="C16" s="517" t="s">
        <v>318</v>
      </c>
      <c r="D16" s="517"/>
      <c r="E16" s="517"/>
      <c r="F16" s="517"/>
      <c r="G16" s="517"/>
      <c r="H16" s="517"/>
      <c r="I16" s="518"/>
      <c r="J16" s="185"/>
      <c r="K16" s="185"/>
      <c r="M16" s="182"/>
      <c r="N16" s="176"/>
    </row>
    <row r="17" spans="2:14" ht="30.75" customHeight="1" x14ac:dyDescent="0.2">
      <c r="B17" s="224" t="s">
        <v>259</v>
      </c>
      <c r="C17" s="519" t="s">
        <v>152</v>
      </c>
      <c r="D17" s="538"/>
      <c r="E17" s="538"/>
      <c r="F17" s="538"/>
      <c r="G17" s="538"/>
      <c r="H17" s="538"/>
      <c r="I17" s="539"/>
      <c r="J17" s="186"/>
      <c r="K17" s="186"/>
      <c r="M17" s="182" t="s">
        <v>91</v>
      </c>
      <c r="N17" s="176"/>
    </row>
    <row r="18" spans="2:14" ht="18" customHeight="1" x14ac:dyDescent="0.2">
      <c r="B18" s="540" t="s">
        <v>265</v>
      </c>
      <c r="C18" s="541" t="s">
        <v>237</v>
      </c>
      <c r="D18" s="541"/>
      <c r="E18" s="541"/>
      <c r="F18" s="542" t="s">
        <v>238</v>
      </c>
      <c r="G18" s="542"/>
      <c r="H18" s="542"/>
      <c r="I18" s="543"/>
      <c r="J18" s="187"/>
      <c r="K18" s="187"/>
      <c r="M18" s="182" t="s">
        <v>79</v>
      </c>
      <c r="N18" s="176"/>
    </row>
    <row r="19" spans="2:14" ht="39.75" customHeight="1" x14ac:dyDescent="0.2">
      <c r="B19" s="540"/>
      <c r="C19" s="552" t="s">
        <v>296</v>
      </c>
      <c r="D19" s="553"/>
      <c r="E19" s="637"/>
      <c r="F19" s="517" t="str">
        <f>C19</f>
        <v>Actividades que se ejecutaron para la implementacion de los procesos transversales</v>
      </c>
      <c r="G19" s="517"/>
      <c r="H19" s="517"/>
      <c r="I19" s="518"/>
      <c r="J19" s="185"/>
      <c r="K19" s="185"/>
      <c r="M19" s="182" t="s">
        <v>95</v>
      </c>
      <c r="N19" s="176"/>
    </row>
    <row r="20" spans="2:14" ht="39.75" customHeight="1" x14ac:dyDescent="0.2">
      <c r="B20" s="224" t="s">
        <v>266</v>
      </c>
      <c r="C20" s="552" t="s">
        <v>297</v>
      </c>
      <c r="D20" s="553"/>
      <c r="E20" s="637"/>
      <c r="F20" s="517" t="str">
        <f>C20</f>
        <v>Cantidad de actividades que se ejecutaron para la implementacion de los procesos transversales</v>
      </c>
      <c r="G20" s="517"/>
      <c r="H20" s="517"/>
      <c r="I20" s="518"/>
      <c r="J20" s="179"/>
      <c r="K20" s="179"/>
      <c r="M20" s="182"/>
      <c r="N20" s="176"/>
    </row>
    <row r="21" spans="2:14" ht="27" customHeight="1" x14ac:dyDescent="0.2">
      <c r="B21" s="224" t="s">
        <v>267</v>
      </c>
      <c r="C21" s="552" t="s">
        <v>152</v>
      </c>
      <c r="D21" s="553"/>
      <c r="E21" s="637"/>
      <c r="F21" s="552" t="s">
        <v>152</v>
      </c>
      <c r="G21" s="553"/>
      <c r="H21" s="553"/>
      <c r="I21" s="554"/>
      <c r="J21" s="184"/>
      <c r="K21" s="184"/>
      <c r="M21" s="188"/>
      <c r="N21" s="176"/>
    </row>
    <row r="22" spans="2:14" ht="23.25" customHeight="1" x14ac:dyDescent="0.2">
      <c r="B22" s="224" t="s">
        <v>268</v>
      </c>
      <c r="C22" s="598">
        <v>44197</v>
      </c>
      <c r="D22" s="609"/>
      <c r="E22" s="610"/>
      <c r="F22" s="178" t="s">
        <v>271</v>
      </c>
      <c r="G22" s="225">
        <v>0.1</v>
      </c>
      <c r="H22" s="178" t="s">
        <v>275</v>
      </c>
      <c r="I22" s="260">
        <v>0.1</v>
      </c>
      <c r="J22" s="173">
        <v>3.377402597402597E-2</v>
      </c>
      <c r="K22" s="189"/>
      <c r="M22" s="188"/>
    </row>
    <row r="23" spans="2:14" ht="27" customHeight="1" x14ac:dyDescent="0.2">
      <c r="B23" s="224" t="s">
        <v>269</v>
      </c>
      <c r="C23" s="598">
        <v>44561</v>
      </c>
      <c r="D23" s="599"/>
      <c r="E23" s="600"/>
      <c r="F23" s="178" t="s">
        <v>272</v>
      </c>
      <c r="G23" s="535">
        <v>0.3</v>
      </c>
      <c r="H23" s="536"/>
      <c r="I23" s="537"/>
      <c r="J23" s="190"/>
      <c r="K23" s="190"/>
      <c r="M23" s="188"/>
    </row>
    <row r="24" spans="2:14" ht="30.75" customHeight="1" x14ac:dyDescent="0.2">
      <c r="B24" s="231" t="s">
        <v>270</v>
      </c>
      <c r="C24" s="611" t="s">
        <v>326</v>
      </c>
      <c r="D24" s="612"/>
      <c r="E24" s="613"/>
      <c r="F24" s="227" t="s">
        <v>274</v>
      </c>
      <c r="G24" s="560" t="s">
        <v>223</v>
      </c>
      <c r="H24" s="533"/>
      <c r="I24" s="561"/>
      <c r="J24" s="187"/>
      <c r="K24" s="187"/>
      <c r="M24" s="188"/>
    </row>
    <row r="25" spans="2:14" ht="22.5" customHeight="1" x14ac:dyDescent="0.2">
      <c r="B25" s="513" t="s">
        <v>235</v>
      </c>
      <c r="C25" s="514"/>
      <c r="D25" s="514"/>
      <c r="E25" s="514"/>
      <c r="F25" s="514"/>
      <c r="G25" s="514"/>
      <c r="H25" s="514"/>
      <c r="I25" s="515"/>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10">
        <f>0.0148*G23</f>
        <v>4.4400000000000004E-3</v>
      </c>
      <c r="D27" s="262">
        <v>4.4400000000000004E-3</v>
      </c>
      <c r="E27" s="263">
        <f>IF(OR(C27=0,C27=""),0,D27/C27)</f>
        <v>1</v>
      </c>
      <c r="F27" s="580">
        <f>SUM(C27:C38)</f>
        <v>0.29999520000000007</v>
      </c>
      <c r="G27" s="580">
        <f>SUM(D27:D38)</f>
        <v>5.9636759999999997E-2</v>
      </c>
      <c r="H27" s="264">
        <f>+(D27*100%)/$G$23</f>
        <v>1.4800000000000002E-2</v>
      </c>
      <c r="I27" s="715">
        <f>G27+I22</f>
        <v>0.15963675999999999</v>
      </c>
      <c r="J27" s="185"/>
      <c r="K27" s="185"/>
      <c r="M27" s="188"/>
    </row>
    <row r="28" spans="2:14" ht="15.6" customHeight="1" x14ac:dyDescent="0.2">
      <c r="B28" s="191" t="s">
        <v>114</v>
      </c>
      <c r="C28" s="210">
        <f>0.109162121212121*G23</f>
        <v>3.2748636363636299E-2</v>
      </c>
      <c r="D28" s="262">
        <f>0.077162*G23</f>
        <v>2.3148599999999998E-2</v>
      </c>
      <c r="E28" s="263">
        <f t="shared" ref="E28:E38" si="0">IF(OR(C28=0,C28=""),0,D28/C28)</f>
        <v>0.70685691284855856</v>
      </c>
      <c r="F28" s="581"/>
      <c r="G28" s="581"/>
      <c r="H28" s="264">
        <f>+IF(D28="","",((D28*100%)/$G$23)+H27)</f>
        <v>9.1962000000000002E-2</v>
      </c>
      <c r="I28" s="716"/>
      <c r="J28" s="185"/>
      <c r="K28" s="185"/>
      <c r="M28" s="188"/>
    </row>
    <row r="29" spans="2:14" ht="15.6" customHeight="1" x14ac:dyDescent="0.2">
      <c r="B29" s="191" t="s">
        <v>115</v>
      </c>
      <c r="C29" s="210">
        <f>0.139956787878788*G23</f>
        <v>4.1987036363636404E-2</v>
      </c>
      <c r="D29" s="262">
        <f>0.1068272*G23</f>
        <v>3.2048159999999999E-2</v>
      </c>
      <c r="E29" s="263">
        <f t="shared" si="0"/>
        <v>0.76328702322405062</v>
      </c>
      <c r="F29" s="581"/>
      <c r="G29" s="581"/>
      <c r="H29" s="264">
        <f t="shared" ref="H29:H38" si="1">+IF(D29="","",((D29*100%)/$G$23)+H28)</f>
        <v>0.1987892</v>
      </c>
      <c r="I29" s="716"/>
      <c r="J29" s="185"/>
      <c r="K29" s="185"/>
      <c r="M29" s="188"/>
    </row>
    <row r="30" spans="2:14" ht="15.6" customHeight="1" x14ac:dyDescent="0.2">
      <c r="B30" s="191" t="s">
        <v>116</v>
      </c>
      <c r="C30" s="210">
        <f>0.149162121212121*G23</f>
        <v>4.4748636363636296E-2</v>
      </c>
      <c r="D30" s="262"/>
      <c r="E30" s="263">
        <f t="shared" si="0"/>
        <v>0</v>
      </c>
      <c r="F30" s="581"/>
      <c r="G30" s="581"/>
      <c r="H30" s="264" t="str">
        <f t="shared" si="1"/>
        <v/>
      </c>
      <c r="I30" s="716"/>
      <c r="J30" s="185"/>
      <c r="K30" s="185"/>
      <c r="M30" s="188"/>
    </row>
    <row r="31" spans="2:14" ht="15.6" customHeight="1" x14ac:dyDescent="0.2">
      <c r="B31" s="191" t="s">
        <v>117</v>
      </c>
      <c r="C31" s="210">
        <f>0.130895454545455*G23</f>
        <v>3.9268636363636499E-2</v>
      </c>
      <c r="D31" s="262"/>
      <c r="E31" s="263">
        <f t="shared" si="0"/>
        <v>0</v>
      </c>
      <c r="F31" s="581"/>
      <c r="G31" s="581"/>
      <c r="H31" s="264" t="str">
        <f t="shared" si="1"/>
        <v/>
      </c>
      <c r="I31" s="716"/>
      <c r="J31" s="185"/>
      <c r="K31" s="185"/>
      <c r="M31" s="188"/>
    </row>
    <row r="32" spans="2:14" ht="15.6" customHeight="1" x14ac:dyDescent="0.2">
      <c r="B32" s="191" t="s">
        <v>118</v>
      </c>
      <c r="C32" s="210">
        <f>0.0965853593073593*G23</f>
        <v>2.8975607792207789E-2</v>
      </c>
      <c r="D32" s="262"/>
      <c r="E32" s="263">
        <f t="shared" si="0"/>
        <v>0</v>
      </c>
      <c r="F32" s="581"/>
      <c r="G32" s="581"/>
      <c r="H32" s="264" t="str">
        <f t="shared" si="1"/>
        <v/>
      </c>
      <c r="I32" s="716"/>
      <c r="J32" s="185"/>
      <c r="K32" s="185"/>
      <c r="M32" s="188"/>
    </row>
    <row r="33" spans="2:11" ht="19.5" customHeight="1" x14ac:dyDescent="0.2">
      <c r="B33" s="191" t="s">
        <v>119</v>
      </c>
      <c r="C33" s="210">
        <f>0.084524025974026*G23</f>
        <v>2.5357207792207799E-2</v>
      </c>
      <c r="D33" s="262"/>
      <c r="E33" s="263">
        <f t="shared" si="0"/>
        <v>0</v>
      </c>
      <c r="F33" s="581"/>
      <c r="G33" s="581"/>
      <c r="H33" s="264" t="str">
        <f t="shared" si="1"/>
        <v/>
      </c>
      <c r="I33" s="716"/>
      <c r="J33" s="195"/>
      <c r="K33" s="195"/>
    </row>
    <row r="34" spans="2:11" ht="19.5" customHeight="1" x14ac:dyDescent="0.2">
      <c r="B34" s="191" t="s">
        <v>120</v>
      </c>
      <c r="C34" s="210">
        <f>0.080524025974026*G23</f>
        <v>2.4157207792207799E-2</v>
      </c>
      <c r="D34" s="262"/>
      <c r="E34" s="263">
        <f t="shared" si="0"/>
        <v>0</v>
      </c>
      <c r="F34" s="581"/>
      <c r="G34" s="581"/>
      <c r="H34" s="264" t="str">
        <f t="shared" si="1"/>
        <v/>
      </c>
      <c r="I34" s="716"/>
      <c r="J34" s="195"/>
      <c r="K34" s="195"/>
    </row>
    <row r="35" spans="2:11" ht="19.5" customHeight="1" x14ac:dyDescent="0.2">
      <c r="B35" s="191" t="s">
        <v>121</v>
      </c>
      <c r="C35" s="210">
        <f>0.069052025974026*G23</f>
        <v>2.07156077922078E-2</v>
      </c>
      <c r="D35" s="262"/>
      <c r="E35" s="263">
        <f t="shared" si="0"/>
        <v>0</v>
      </c>
      <c r="F35" s="581"/>
      <c r="G35" s="581"/>
      <c r="H35" s="264" t="str">
        <f t="shared" si="1"/>
        <v/>
      </c>
      <c r="I35" s="716"/>
      <c r="J35" s="195"/>
      <c r="K35" s="195"/>
    </row>
    <row r="36" spans="2:11" ht="19.5" customHeight="1" x14ac:dyDescent="0.2">
      <c r="B36" s="191" t="s">
        <v>122</v>
      </c>
      <c r="C36" s="210">
        <f>0.057774025974026*G23</f>
        <v>1.7332207792207798E-2</v>
      </c>
      <c r="D36" s="262"/>
      <c r="E36" s="263">
        <f t="shared" si="0"/>
        <v>0</v>
      </c>
      <c r="F36" s="581"/>
      <c r="G36" s="581"/>
      <c r="H36" s="264" t="str">
        <f t="shared" si="1"/>
        <v/>
      </c>
      <c r="I36" s="716"/>
      <c r="J36" s="195"/>
      <c r="K36" s="195"/>
    </row>
    <row r="37" spans="2:11" ht="19.5" customHeight="1" x14ac:dyDescent="0.2">
      <c r="B37" s="191" t="s">
        <v>123</v>
      </c>
      <c r="C37" s="210">
        <f>0.033774025974026*G23</f>
        <v>1.0132207792207798E-2</v>
      </c>
      <c r="D37" s="262"/>
      <c r="E37" s="263">
        <f t="shared" si="0"/>
        <v>0</v>
      </c>
      <c r="F37" s="581"/>
      <c r="G37" s="581"/>
      <c r="H37" s="264" t="str">
        <f t="shared" si="1"/>
        <v/>
      </c>
      <c r="I37" s="716"/>
      <c r="J37" s="195"/>
      <c r="K37" s="195"/>
    </row>
    <row r="38" spans="2:11" ht="19.5" customHeight="1" x14ac:dyDescent="0.2">
      <c r="B38" s="191" t="s">
        <v>124</v>
      </c>
      <c r="C38" s="210">
        <f>0.033774025974026*G23</f>
        <v>1.0132207792207798E-2</v>
      </c>
      <c r="D38" s="262"/>
      <c r="E38" s="263">
        <f t="shared" si="0"/>
        <v>0</v>
      </c>
      <c r="F38" s="582"/>
      <c r="G38" s="582"/>
      <c r="H38" s="264" t="str">
        <f t="shared" si="1"/>
        <v/>
      </c>
      <c r="I38" s="717"/>
      <c r="J38" s="195"/>
      <c r="K38" s="195"/>
    </row>
    <row r="39" spans="2:11" ht="52.5" customHeight="1" x14ac:dyDescent="0.2">
      <c r="B39" s="229" t="s">
        <v>277</v>
      </c>
      <c r="C39" s="562"/>
      <c r="D39" s="563"/>
      <c r="E39" s="563"/>
      <c r="F39" s="563"/>
      <c r="G39" s="563"/>
      <c r="H39" s="563"/>
      <c r="I39" s="564"/>
      <c r="J39" s="196"/>
      <c r="K39" s="196"/>
    </row>
    <row r="40" spans="2:11" ht="34.5" customHeight="1" x14ac:dyDescent="0.2">
      <c r="B40" s="565"/>
      <c r="C40" s="566"/>
      <c r="D40" s="566"/>
      <c r="E40" s="566"/>
      <c r="F40" s="566"/>
      <c r="G40" s="566"/>
      <c r="H40" s="566"/>
      <c r="I40" s="567"/>
      <c r="J40" s="175"/>
      <c r="K40" s="175"/>
    </row>
    <row r="41" spans="2:11" ht="34.5" customHeight="1" x14ac:dyDescent="0.2">
      <c r="B41" s="568"/>
      <c r="C41" s="569"/>
      <c r="D41" s="569"/>
      <c r="E41" s="569"/>
      <c r="F41" s="569"/>
      <c r="G41" s="569"/>
      <c r="H41" s="569"/>
      <c r="I41" s="570"/>
      <c r="J41" s="196"/>
      <c r="K41" s="196"/>
    </row>
    <row r="42" spans="2:11" ht="34.5" customHeight="1" x14ac:dyDescent="0.2">
      <c r="B42" s="568"/>
      <c r="C42" s="569"/>
      <c r="D42" s="569"/>
      <c r="E42" s="569"/>
      <c r="F42" s="569"/>
      <c r="G42" s="569"/>
      <c r="H42" s="569"/>
      <c r="I42" s="570"/>
      <c r="J42" s="196"/>
      <c r="K42" s="196"/>
    </row>
    <row r="43" spans="2:11" ht="34.5" customHeight="1" x14ac:dyDescent="0.2">
      <c r="B43" s="568"/>
      <c r="C43" s="569"/>
      <c r="D43" s="569"/>
      <c r="E43" s="569"/>
      <c r="F43" s="569"/>
      <c r="G43" s="569"/>
      <c r="H43" s="569"/>
      <c r="I43" s="570"/>
      <c r="J43" s="196"/>
      <c r="K43" s="196"/>
    </row>
    <row r="44" spans="2:11" ht="34.5" customHeight="1" x14ac:dyDescent="0.2">
      <c r="B44" s="571"/>
      <c r="C44" s="572"/>
      <c r="D44" s="572"/>
      <c r="E44" s="572"/>
      <c r="F44" s="572"/>
      <c r="G44" s="572"/>
      <c r="H44" s="572"/>
      <c r="I44" s="573"/>
      <c r="J44" s="174"/>
      <c r="K44" s="174"/>
    </row>
    <row r="45" spans="2:11" ht="96.75" customHeight="1" x14ac:dyDescent="0.2">
      <c r="B45" s="224" t="s">
        <v>278</v>
      </c>
      <c r="C45" s="756" t="s">
        <v>400</v>
      </c>
      <c r="D45" s="757"/>
      <c r="E45" s="757"/>
      <c r="F45" s="757"/>
      <c r="G45" s="757"/>
      <c r="H45" s="757"/>
      <c r="I45" s="758"/>
      <c r="J45" s="197"/>
      <c r="K45" s="197"/>
    </row>
    <row r="46" spans="2:11" ht="64.900000000000006" customHeight="1" x14ac:dyDescent="0.2">
      <c r="B46" s="224" t="s">
        <v>279</v>
      </c>
      <c r="C46" s="756" t="s">
        <v>390</v>
      </c>
      <c r="D46" s="757"/>
      <c r="E46" s="757"/>
      <c r="F46" s="757"/>
      <c r="G46" s="757"/>
      <c r="H46" s="757"/>
      <c r="I46" s="758"/>
      <c r="J46" s="197"/>
      <c r="K46" s="197"/>
    </row>
    <row r="47" spans="2:11" ht="66" customHeight="1" x14ac:dyDescent="0.2">
      <c r="B47" s="230" t="s">
        <v>280</v>
      </c>
      <c r="C47" s="759" t="s">
        <v>391</v>
      </c>
      <c r="D47" s="760"/>
      <c r="E47" s="760"/>
      <c r="F47" s="760"/>
      <c r="G47" s="760"/>
      <c r="H47" s="760"/>
      <c r="I47" s="761"/>
      <c r="J47" s="197"/>
      <c r="K47" s="197"/>
    </row>
    <row r="48" spans="2:11" ht="22.5" customHeight="1" x14ac:dyDescent="0.2">
      <c r="B48" s="513" t="s">
        <v>236</v>
      </c>
      <c r="C48" s="514"/>
      <c r="D48" s="514"/>
      <c r="E48" s="514"/>
      <c r="F48" s="514"/>
      <c r="G48" s="514"/>
      <c r="H48" s="514"/>
      <c r="I48" s="515"/>
      <c r="J48" s="197"/>
      <c r="K48" s="197"/>
    </row>
    <row r="49" spans="2:11" ht="22.5" customHeight="1" x14ac:dyDescent="0.2">
      <c r="B49" s="587" t="s">
        <v>281</v>
      </c>
      <c r="C49" s="218" t="s">
        <v>282</v>
      </c>
      <c r="D49" s="589" t="s">
        <v>283</v>
      </c>
      <c r="E49" s="589"/>
      <c r="F49" s="589"/>
      <c r="G49" s="589" t="s">
        <v>284</v>
      </c>
      <c r="H49" s="589"/>
      <c r="I49" s="590"/>
      <c r="J49" s="198"/>
      <c r="K49" s="198"/>
    </row>
    <row r="50" spans="2:11" ht="30.75" customHeight="1" x14ac:dyDescent="0.2">
      <c r="B50" s="588"/>
      <c r="C50" s="261"/>
      <c r="D50" s="652"/>
      <c r="E50" s="652"/>
      <c r="F50" s="652"/>
      <c r="G50" s="652"/>
      <c r="H50" s="652"/>
      <c r="I50" s="653"/>
      <c r="J50" s="198"/>
      <c r="K50" s="198"/>
    </row>
    <row r="51" spans="2:11" ht="32.25" customHeight="1" x14ac:dyDescent="0.2">
      <c r="B51" s="233" t="s">
        <v>285</v>
      </c>
      <c r="C51" s="652" t="s">
        <v>342</v>
      </c>
      <c r="D51" s="652"/>
      <c r="E51" s="652"/>
      <c r="F51" s="652"/>
      <c r="G51" s="652"/>
      <c r="H51" s="652"/>
      <c r="I51" s="653"/>
      <c r="J51" s="200"/>
      <c r="K51" s="200"/>
    </row>
    <row r="52" spans="2:11" ht="28.5" customHeight="1" x14ac:dyDescent="0.2">
      <c r="B52" s="234" t="s">
        <v>286</v>
      </c>
      <c r="C52" s="652" t="s">
        <v>342</v>
      </c>
      <c r="D52" s="652"/>
      <c r="E52" s="652"/>
      <c r="F52" s="652"/>
      <c r="G52" s="652"/>
      <c r="H52" s="652"/>
      <c r="I52" s="653"/>
      <c r="J52" s="200"/>
      <c r="K52" s="200"/>
    </row>
    <row r="53" spans="2:11" ht="30" customHeight="1" x14ac:dyDescent="0.2">
      <c r="B53" s="230" t="s">
        <v>287</v>
      </c>
      <c r="C53" s="652" t="s">
        <v>330</v>
      </c>
      <c r="D53" s="652"/>
      <c r="E53" s="652"/>
      <c r="F53" s="652"/>
      <c r="G53" s="652"/>
      <c r="H53" s="652"/>
      <c r="I53" s="653"/>
      <c r="J53" s="201"/>
      <c r="K53" s="201"/>
    </row>
    <row r="54" spans="2:11" ht="31.5" customHeight="1" thickBot="1" x14ac:dyDescent="0.25">
      <c r="B54" s="211" t="s">
        <v>288</v>
      </c>
      <c r="C54" s="738" t="s">
        <v>331</v>
      </c>
      <c r="D54" s="739"/>
      <c r="E54" s="739"/>
      <c r="F54" s="739"/>
      <c r="G54" s="739"/>
      <c r="H54" s="739"/>
      <c r="I54" s="740"/>
      <c r="J54" s="202"/>
      <c r="K54" s="202"/>
    </row>
    <row r="55" spans="2:11" ht="13.15" customHeight="1" x14ac:dyDescent="0.2">
      <c r="B55" s="203"/>
      <c r="C55" s="204"/>
      <c r="D55" s="204"/>
      <c r="E55" s="205"/>
      <c r="F55" s="205"/>
      <c r="G55" s="212"/>
      <c r="H55" s="207"/>
      <c r="I55" s="204"/>
      <c r="J55" s="202"/>
      <c r="K55" s="202"/>
    </row>
    <row r="56" spans="2:11" ht="13.15" customHeight="1" x14ac:dyDescent="0.2">
      <c r="B56" s="203"/>
      <c r="C56" s="204"/>
      <c r="D56" s="204"/>
      <c r="E56" s="205"/>
      <c r="F56" s="205"/>
      <c r="G56" s="212"/>
      <c r="H56" s="207"/>
      <c r="I56" s="204"/>
      <c r="J56" s="202"/>
      <c r="K56" s="202"/>
    </row>
    <row r="57" spans="2:11" ht="13.15" customHeight="1" x14ac:dyDescent="0.2">
      <c r="B57" s="203"/>
      <c r="C57" s="204"/>
      <c r="D57" s="204"/>
      <c r="E57" s="205"/>
      <c r="F57" s="205"/>
      <c r="G57" s="212"/>
      <c r="H57" s="207"/>
      <c r="I57" s="204"/>
      <c r="J57" s="202"/>
      <c r="K57" s="202"/>
    </row>
    <row r="58" spans="2:11" ht="13.15" customHeight="1" x14ac:dyDescent="0.2">
      <c r="B58" s="203"/>
      <c r="C58" s="204"/>
      <c r="D58" s="204"/>
      <c r="E58" s="205"/>
      <c r="F58" s="205"/>
      <c r="G58" s="212"/>
      <c r="H58" s="207"/>
      <c r="I58" s="204"/>
      <c r="J58" s="202"/>
      <c r="K58" s="202"/>
    </row>
    <row r="59" spans="2:11" ht="13.15" customHeight="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row r="61" spans="2:11" ht="13.9" customHeight="1" x14ac:dyDescent="0.2"/>
  </sheetData>
  <sheetProtection algorithmName="SHA-512" hashValue="5UBymHrwZNfBGPo7rwo35uvHdDiRrZzGAWzH+xaY99to1AZh4xDgOiXrWCl+6FEyq+arTAQVJFRKb2SWJgFqtQ==" saltValue="S6kmpLvfjrgthIe35PvNi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968016B7-3826-49D0-B5BF-1DB95A3FCB20}">
      <formula1>$N$11:$N$12</formula1>
    </dataValidation>
    <dataValidation type="list" allowBlank="1" showInputMessage="1" showErrorMessage="1" sqref="H13:I13" xr:uid="{87C34EF0-948E-478D-A485-53E7C339C546}">
      <formula1>$N$5:$N$8</formula1>
    </dataValidation>
    <dataValidation type="list" allowBlank="1" showInputMessage="1" showErrorMessage="1" sqref="C9:F9" xr:uid="{3DB9E810-D11E-4D79-8825-512BBF4191C1}">
      <formula1>$M$6:$M$9</formula1>
    </dataValidation>
    <dataValidation type="list" allowBlank="1" showInputMessage="1" showErrorMessage="1" sqref="C24:E24" xr:uid="{12C7ED17-E012-4ABD-8B76-480AAB16263F}">
      <formula1>$M$12:$M$15</formula1>
    </dataValidation>
    <dataValidation type="list" allowBlank="1" showInputMessage="1" showErrorMessage="1" sqref="H12:I12" xr:uid="{2E3795A6-3702-427E-860B-9EDD61862EF3}">
      <formula1>M17:M19</formula1>
    </dataValidation>
    <dataValidation type="list" showDropDown="1" showInputMessage="1" showErrorMessage="1" sqref="K12" xr:uid="{93264538-D010-4943-815A-73AD5B4732D4}">
      <formula1>O17:O19</formula1>
    </dataValidation>
    <dataValidation type="list" allowBlank="1" showInputMessage="1" showErrorMessage="1" sqref="J10:K10" xr:uid="{E92A5872-B4FE-4D92-A067-2B3A2A61D592}">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945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9457"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66"/>
      <c r="C2" s="364" t="s">
        <v>24</v>
      </c>
      <c r="D2" s="364"/>
      <c r="E2" s="364"/>
      <c r="F2" s="364"/>
      <c r="G2" s="364"/>
      <c r="H2" s="364"/>
      <c r="I2" s="368"/>
      <c r="J2" s="13"/>
      <c r="K2" s="13"/>
      <c r="M2" s="14" t="s">
        <v>47</v>
      </c>
    </row>
    <row r="3" spans="2:14" ht="25.5" customHeight="1" x14ac:dyDescent="0.2">
      <c r="B3" s="367"/>
      <c r="C3" s="365" t="s">
        <v>25</v>
      </c>
      <c r="D3" s="365"/>
      <c r="E3" s="365"/>
      <c r="F3" s="365"/>
      <c r="G3" s="365"/>
      <c r="H3" s="365"/>
      <c r="I3" s="369"/>
      <c r="J3" s="13"/>
      <c r="K3" s="13"/>
      <c r="M3" s="14" t="s">
        <v>48</v>
      </c>
    </row>
    <row r="4" spans="2:14" ht="25.5" customHeight="1" x14ac:dyDescent="0.2">
      <c r="B4" s="367"/>
      <c r="C4" s="365" t="s">
        <v>49</v>
      </c>
      <c r="D4" s="365"/>
      <c r="E4" s="365"/>
      <c r="F4" s="365"/>
      <c r="G4" s="365"/>
      <c r="H4" s="365"/>
      <c r="I4" s="369"/>
      <c r="J4" s="13"/>
      <c r="K4" s="13"/>
      <c r="M4" s="14" t="s">
        <v>50</v>
      </c>
    </row>
    <row r="5" spans="2:14" ht="25.5" customHeight="1" x14ac:dyDescent="0.2">
      <c r="B5" s="367"/>
      <c r="C5" s="365" t="s">
        <v>51</v>
      </c>
      <c r="D5" s="365"/>
      <c r="E5" s="365"/>
      <c r="F5" s="365"/>
      <c r="G5" s="370" t="s">
        <v>52</v>
      </c>
      <c r="H5" s="370"/>
      <c r="I5" s="369"/>
      <c r="J5" s="13"/>
      <c r="K5" s="13"/>
      <c r="M5" s="14" t="s">
        <v>53</v>
      </c>
    </row>
    <row r="6" spans="2:14" ht="23.25" customHeight="1" x14ac:dyDescent="0.2">
      <c r="B6" s="371" t="s">
        <v>54</v>
      </c>
      <c r="C6" s="372"/>
      <c r="D6" s="372"/>
      <c r="E6" s="372"/>
      <c r="F6" s="372"/>
      <c r="G6" s="372"/>
      <c r="H6" s="372"/>
      <c r="I6" s="373"/>
      <c r="J6" s="15"/>
      <c r="K6" s="15"/>
    </row>
    <row r="7" spans="2:14" ht="24" customHeight="1" x14ac:dyDescent="0.2">
      <c r="B7" s="374" t="s">
        <v>55</v>
      </c>
      <c r="C7" s="375"/>
      <c r="D7" s="375"/>
      <c r="E7" s="375"/>
      <c r="F7" s="375"/>
      <c r="G7" s="375"/>
      <c r="H7" s="375"/>
      <c r="I7" s="376"/>
      <c r="J7" s="16"/>
      <c r="K7" s="16"/>
    </row>
    <row r="8" spans="2:14" ht="24" customHeight="1" x14ac:dyDescent="0.2">
      <c r="B8" s="377" t="s">
        <v>56</v>
      </c>
      <c r="C8" s="378"/>
      <c r="D8" s="378"/>
      <c r="E8" s="378"/>
      <c r="F8" s="378"/>
      <c r="G8" s="378"/>
      <c r="H8" s="378"/>
      <c r="I8" s="379"/>
      <c r="J8" s="58"/>
      <c r="K8" s="58"/>
      <c r="N8" s="6" t="s">
        <v>57</v>
      </c>
    </row>
    <row r="9" spans="2:14" ht="30.75" customHeight="1" x14ac:dyDescent="0.2">
      <c r="B9" s="98" t="s">
        <v>58</v>
      </c>
      <c r="C9" s="59">
        <v>14</v>
      </c>
      <c r="D9" s="385" t="s">
        <v>59</v>
      </c>
      <c r="E9" s="385"/>
      <c r="F9" s="386" t="s">
        <v>207</v>
      </c>
      <c r="G9" s="387"/>
      <c r="H9" s="387"/>
      <c r="I9" s="388"/>
      <c r="J9" s="17"/>
      <c r="K9" s="17"/>
      <c r="M9" s="14" t="s">
        <v>60</v>
      </c>
      <c r="N9" s="6" t="s">
        <v>61</v>
      </c>
    </row>
    <row r="10" spans="2:14" ht="30.75" customHeight="1" x14ac:dyDescent="0.2">
      <c r="B10" s="20" t="s">
        <v>62</v>
      </c>
      <c r="C10" s="60" t="s">
        <v>81</v>
      </c>
      <c r="D10" s="389" t="s">
        <v>63</v>
      </c>
      <c r="E10" s="390"/>
      <c r="F10" s="380" t="s">
        <v>155</v>
      </c>
      <c r="G10" s="381"/>
      <c r="H10" s="18" t="s">
        <v>64</v>
      </c>
      <c r="I10" s="76" t="s">
        <v>81</v>
      </c>
      <c r="J10" s="19"/>
      <c r="K10" s="19"/>
      <c r="M10" s="14" t="s">
        <v>65</v>
      </c>
      <c r="N10" s="6" t="s">
        <v>66</v>
      </c>
    </row>
    <row r="11" spans="2:14" ht="30.75" customHeight="1" x14ac:dyDescent="0.2">
      <c r="B11" s="20" t="s">
        <v>67</v>
      </c>
      <c r="C11" s="382" t="s">
        <v>156</v>
      </c>
      <c r="D11" s="382"/>
      <c r="E11" s="382"/>
      <c r="F11" s="382"/>
      <c r="G11" s="18" t="s">
        <v>68</v>
      </c>
      <c r="H11" s="383">
        <v>1032</v>
      </c>
      <c r="I11" s="384"/>
      <c r="J11" s="21"/>
      <c r="K11" s="21"/>
      <c r="M11" s="14" t="s">
        <v>69</v>
      </c>
      <c r="N11" s="6" t="s">
        <v>70</v>
      </c>
    </row>
    <row r="12" spans="2:14" ht="30.75" customHeight="1" x14ac:dyDescent="0.2">
      <c r="B12" s="20" t="s">
        <v>71</v>
      </c>
      <c r="C12" s="391" t="s">
        <v>65</v>
      </c>
      <c r="D12" s="391"/>
      <c r="E12" s="391"/>
      <c r="F12" s="391"/>
      <c r="G12" s="18" t="s">
        <v>72</v>
      </c>
      <c r="H12" s="788" t="s">
        <v>165</v>
      </c>
      <c r="I12" s="789"/>
      <c r="J12" s="22"/>
      <c r="K12" s="22"/>
      <c r="M12" s="23" t="s">
        <v>73</v>
      </c>
    </row>
    <row r="13" spans="2:14" ht="30.75" customHeight="1" x14ac:dyDescent="0.2">
      <c r="B13" s="20" t="s">
        <v>74</v>
      </c>
      <c r="C13" s="394" t="s">
        <v>45</v>
      </c>
      <c r="D13" s="394"/>
      <c r="E13" s="394"/>
      <c r="F13" s="394"/>
      <c r="G13" s="394"/>
      <c r="H13" s="394"/>
      <c r="I13" s="395"/>
      <c r="J13" s="24"/>
      <c r="K13" s="24"/>
      <c r="M13" s="23"/>
    </row>
    <row r="14" spans="2:14" ht="30.75" customHeight="1" x14ac:dyDescent="0.2">
      <c r="B14" s="20" t="s">
        <v>75</v>
      </c>
      <c r="C14" s="380" t="s">
        <v>153</v>
      </c>
      <c r="D14" s="381"/>
      <c r="E14" s="381"/>
      <c r="F14" s="381"/>
      <c r="G14" s="381"/>
      <c r="H14" s="381"/>
      <c r="I14" s="396"/>
      <c r="J14" s="19"/>
      <c r="K14" s="19"/>
      <c r="M14" s="23"/>
      <c r="N14" s="6" t="s">
        <v>76</v>
      </c>
    </row>
    <row r="15" spans="2:14" ht="30.75" customHeight="1" x14ac:dyDescent="0.2">
      <c r="B15" s="20" t="s">
        <v>77</v>
      </c>
      <c r="C15" s="386" t="s">
        <v>166</v>
      </c>
      <c r="D15" s="387"/>
      <c r="E15" s="387"/>
      <c r="F15" s="770"/>
      <c r="G15" s="18" t="s">
        <v>78</v>
      </c>
      <c r="H15" s="398" t="s">
        <v>91</v>
      </c>
      <c r="I15" s="399"/>
      <c r="J15" s="19"/>
      <c r="K15" s="19"/>
      <c r="M15" s="23" t="s">
        <v>80</v>
      </c>
      <c r="N15" s="6" t="s">
        <v>81</v>
      </c>
    </row>
    <row r="16" spans="2:14" ht="30.75" customHeight="1" x14ac:dyDescent="0.2">
      <c r="B16" s="20" t="s">
        <v>82</v>
      </c>
      <c r="C16" s="400" t="s">
        <v>215</v>
      </c>
      <c r="D16" s="401"/>
      <c r="E16" s="401"/>
      <c r="F16" s="401"/>
      <c r="G16" s="18" t="s">
        <v>83</v>
      </c>
      <c r="H16" s="398" t="s">
        <v>70</v>
      </c>
      <c r="I16" s="399"/>
      <c r="J16" s="19"/>
      <c r="K16" s="19"/>
      <c r="M16" s="23" t="s">
        <v>84</v>
      </c>
    </row>
    <row r="17" spans="2:14" ht="36" customHeight="1" x14ac:dyDescent="0.2">
      <c r="B17" s="20" t="s">
        <v>85</v>
      </c>
      <c r="C17" s="781" t="s">
        <v>167</v>
      </c>
      <c r="D17" s="782"/>
      <c r="E17" s="782"/>
      <c r="F17" s="782"/>
      <c r="G17" s="782"/>
      <c r="H17" s="782"/>
      <c r="I17" s="783"/>
      <c r="J17" s="24"/>
      <c r="K17" s="24"/>
      <c r="M17" s="23" t="s">
        <v>86</v>
      </c>
      <c r="N17" s="6" t="s">
        <v>39</v>
      </c>
    </row>
    <row r="18" spans="2:14" ht="30.75" customHeight="1" x14ac:dyDescent="0.2">
      <c r="B18" s="20" t="s">
        <v>87</v>
      </c>
      <c r="C18" s="386" t="s">
        <v>168</v>
      </c>
      <c r="D18" s="387"/>
      <c r="E18" s="387"/>
      <c r="F18" s="387"/>
      <c r="G18" s="387"/>
      <c r="H18" s="387"/>
      <c r="I18" s="388"/>
      <c r="J18" s="25"/>
      <c r="K18" s="25"/>
      <c r="M18" s="23" t="s">
        <v>88</v>
      </c>
      <c r="N18" s="6" t="s">
        <v>40</v>
      </c>
    </row>
    <row r="19" spans="2:14" ht="30.75" customHeight="1" x14ac:dyDescent="0.2">
      <c r="B19" s="20" t="s">
        <v>89</v>
      </c>
      <c r="C19" s="778" t="s">
        <v>200</v>
      </c>
      <c r="D19" s="779"/>
      <c r="E19" s="779"/>
      <c r="F19" s="779"/>
      <c r="G19" s="779"/>
      <c r="H19" s="779"/>
      <c r="I19" s="780"/>
      <c r="J19" s="26"/>
      <c r="K19" s="26"/>
      <c r="M19" s="23"/>
      <c r="N19" s="6" t="s">
        <v>41</v>
      </c>
    </row>
    <row r="20" spans="2:14" ht="30.75" customHeight="1" x14ac:dyDescent="0.2">
      <c r="B20" s="20" t="s">
        <v>90</v>
      </c>
      <c r="C20" s="784" t="s">
        <v>152</v>
      </c>
      <c r="D20" s="785"/>
      <c r="E20" s="785"/>
      <c r="F20" s="785"/>
      <c r="G20" s="785"/>
      <c r="H20" s="785"/>
      <c r="I20" s="786"/>
      <c r="J20" s="27"/>
      <c r="K20" s="27"/>
      <c r="M20" s="23" t="s">
        <v>91</v>
      </c>
      <c r="N20" s="6" t="s">
        <v>42</v>
      </c>
    </row>
    <row r="21" spans="2:14" ht="27.75" customHeight="1" x14ac:dyDescent="0.2">
      <c r="B21" s="405" t="s">
        <v>92</v>
      </c>
      <c r="C21" s="407" t="s">
        <v>93</v>
      </c>
      <c r="D21" s="407"/>
      <c r="E21" s="407"/>
      <c r="F21" s="408" t="s">
        <v>94</v>
      </c>
      <c r="G21" s="408"/>
      <c r="H21" s="408"/>
      <c r="I21" s="409"/>
      <c r="J21" s="28"/>
      <c r="K21" s="28"/>
      <c r="M21" s="23" t="s">
        <v>79</v>
      </c>
      <c r="N21" s="6" t="s">
        <v>43</v>
      </c>
    </row>
    <row r="22" spans="2:14" ht="27" customHeight="1" x14ac:dyDescent="0.2">
      <c r="B22" s="406"/>
      <c r="C22" s="778" t="s">
        <v>169</v>
      </c>
      <c r="D22" s="779"/>
      <c r="E22" s="787"/>
      <c r="F22" s="778" t="s">
        <v>171</v>
      </c>
      <c r="G22" s="779"/>
      <c r="H22" s="779"/>
      <c r="I22" s="780"/>
      <c r="J22" s="26"/>
      <c r="K22" s="26"/>
      <c r="M22" s="23" t="s">
        <v>95</v>
      </c>
      <c r="N22" s="6" t="s">
        <v>44</v>
      </c>
    </row>
    <row r="23" spans="2:14" ht="39.75" customHeight="1" x14ac:dyDescent="0.2">
      <c r="B23" s="20" t="s">
        <v>96</v>
      </c>
      <c r="C23" s="380" t="s">
        <v>152</v>
      </c>
      <c r="D23" s="381"/>
      <c r="E23" s="774"/>
      <c r="F23" s="380" t="s">
        <v>152</v>
      </c>
      <c r="G23" s="381"/>
      <c r="H23" s="381"/>
      <c r="I23" s="396"/>
      <c r="J23" s="19"/>
      <c r="K23" s="19"/>
      <c r="M23" s="23"/>
      <c r="N23" s="6" t="s">
        <v>45</v>
      </c>
    </row>
    <row r="24" spans="2:14" ht="44.25" customHeight="1" x14ac:dyDescent="0.2">
      <c r="B24" s="20" t="s">
        <v>97</v>
      </c>
      <c r="C24" s="775" t="s">
        <v>170</v>
      </c>
      <c r="D24" s="776"/>
      <c r="E24" s="777"/>
      <c r="F24" s="778" t="s">
        <v>172</v>
      </c>
      <c r="G24" s="779"/>
      <c r="H24" s="779"/>
      <c r="I24" s="780"/>
      <c r="J24" s="25"/>
      <c r="K24" s="25"/>
      <c r="M24" s="29"/>
      <c r="N24" s="6" t="s">
        <v>46</v>
      </c>
    </row>
    <row r="25" spans="2:14" ht="29.25" customHeight="1" x14ac:dyDescent="0.2">
      <c r="B25" s="20" t="s">
        <v>98</v>
      </c>
      <c r="C25" s="422" t="s">
        <v>215</v>
      </c>
      <c r="D25" s="423"/>
      <c r="E25" s="424"/>
      <c r="F25" s="18" t="s">
        <v>99</v>
      </c>
      <c r="G25" s="771">
        <v>74</v>
      </c>
      <c r="H25" s="772"/>
      <c r="I25" s="773"/>
      <c r="J25" s="30"/>
      <c r="K25" s="30"/>
      <c r="M25" s="29"/>
    </row>
    <row r="26" spans="2:14" ht="27" customHeight="1" x14ac:dyDescent="0.2">
      <c r="B26" s="20" t="s">
        <v>100</v>
      </c>
      <c r="C26" s="386" t="s">
        <v>216</v>
      </c>
      <c r="D26" s="387"/>
      <c r="E26" s="770"/>
      <c r="F26" s="18" t="s">
        <v>101</v>
      </c>
      <c r="G26" s="771">
        <v>0</v>
      </c>
      <c r="H26" s="772"/>
      <c r="I26" s="773"/>
      <c r="J26" s="31"/>
      <c r="K26" s="31"/>
      <c r="M26" s="29"/>
    </row>
    <row r="27" spans="2:14" ht="47.25" customHeight="1" x14ac:dyDescent="0.2">
      <c r="B27" s="97" t="s">
        <v>102</v>
      </c>
      <c r="C27" s="380" t="s">
        <v>86</v>
      </c>
      <c r="D27" s="381"/>
      <c r="E27" s="774"/>
      <c r="F27" s="32" t="s">
        <v>103</v>
      </c>
      <c r="G27" s="429" t="s">
        <v>182</v>
      </c>
      <c r="H27" s="430"/>
      <c r="I27" s="431"/>
      <c r="J27" s="28"/>
      <c r="K27" s="28"/>
      <c r="M27" s="29"/>
    </row>
    <row r="28" spans="2:14" ht="30" customHeight="1" x14ac:dyDescent="0.2">
      <c r="B28" s="435" t="s">
        <v>104</v>
      </c>
      <c r="C28" s="436"/>
      <c r="D28" s="436"/>
      <c r="E28" s="436"/>
      <c r="F28" s="436"/>
      <c r="G28" s="436"/>
      <c r="H28" s="436"/>
      <c r="I28" s="43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440"/>
      <c r="D42" s="440"/>
      <c r="E42" s="440"/>
      <c r="F42" s="440"/>
      <c r="G42" s="440"/>
      <c r="H42" s="440"/>
      <c r="I42" s="441"/>
      <c r="J42" s="39"/>
      <c r="K42" s="39"/>
    </row>
    <row r="43" spans="2:11" ht="29.25" customHeight="1" x14ac:dyDescent="0.2">
      <c r="B43" s="435" t="s">
        <v>126</v>
      </c>
      <c r="C43" s="436"/>
      <c r="D43" s="436"/>
      <c r="E43" s="436"/>
      <c r="F43" s="436"/>
      <c r="G43" s="436"/>
      <c r="H43" s="436"/>
      <c r="I43" s="437"/>
      <c r="J43" s="58"/>
      <c r="K43" s="58"/>
    </row>
    <row r="44" spans="2:11" ht="32.25" customHeight="1" x14ac:dyDescent="0.2">
      <c r="B44" s="410"/>
      <c r="C44" s="411"/>
      <c r="D44" s="411"/>
      <c r="E44" s="411"/>
      <c r="F44" s="411"/>
      <c r="G44" s="411"/>
      <c r="H44" s="411"/>
      <c r="I44" s="412"/>
      <c r="J44" s="58"/>
      <c r="K44" s="58"/>
    </row>
    <row r="45" spans="2:11" ht="32.25" customHeight="1" x14ac:dyDescent="0.2">
      <c r="B45" s="413"/>
      <c r="C45" s="414"/>
      <c r="D45" s="414"/>
      <c r="E45" s="414"/>
      <c r="F45" s="414"/>
      <c r="G45" s="414"/>
      <c r="H45" s="414"/>
      <c r="I45" s="415"/>
      <c r="J45" s="39"/>
      <c r="K45" s="39"/>
    </row>
    <row r="46" spans="2:11" ht="32.25" customHeight="1" x14ac:dyDescent="0.2">
      <c r="B46" s="413"/>
      <c r="C46" s="414"/>
      <c r="D46" s="414"/>
      <c r="E46" s="414"/>
      <c r="F46" s="414"/>
      <c r="G46" s="414"/>
      <c r="H46" s="414"/>
      <c r="I46" s="415"/>
      <c r="J46" s="39"/>
      <c r="K46" s="39"/>
    </row>
    <row r="47" spans="2:11" ht="32.25" customHeight="1" x14ac:dyDescent="0.2">
      <c r="B47" s="413"/>
      <c r="C47" s="414"/>
      <c r="D47" s="414"/>
      <c r="E47" s="414"/>
      <c r="F47" s="414"/>
      <c r="G47" s="414"/>
      <c r="H47" s="414"/>
      <c r="I47" s="415"/>
      <c r="J47" s="39"/>
      <c r="K47" s="39"/>
    </row>
    <row r="48" spans="2:11" ht="32.25" customHeight="1" x14ac:dyDescent="0.2">
      <c r="B48" s="416"/>
      <c r="C48" s="417"/>
      <c r="D48" s="417"/>
      <c r="E48" s="417"/>
      <c r="F48" s="417"/>
      <c r="G48" s="417"/>
      <c r="H48" s="417"/>
      <c r="I48" s="418"/>
      <c r="J48" s="40"/>
      <c r="K48" s="40"/>
    </row>
    <row r="49" spans="2:11" ht="79.5" customHeight="1" x14ac:dyDescent="0.2">
      <c r="B49" s="20" t="s">
        <v>127</v>
      </c>
      <c r="C49" s="764"/>
      <c r="D49" s="765"/>
      <c r="E49" s="765"/>
      <c r="F49" s="765"/>
      <c r="G49" s="765"/>
      <c r="H49" s="765"/>
      <c r="I49" s="766"/>
      <c r="J49" s="41"/>
      <c r="K49" s="41"/>
    </row>
    <row r="50" spans="2:11" ht="26.25" customHeight="1" x14ac:dyDescent="0.2">
      <c r="B50" s="20" t="s">
        <v>128</v>
      </c>
      <c r="C50" s="767"/>
      <c r="D50" s="768"/>
      <c r="E50" s="768"/>
      <c r="F50" s="768"/>
      <c r="G50" s="768"/>
      <c r="H50" s="768"/>
      <c r="I50" s="769"/>
      <c r="J50" s="41"/>
      <c r="K50" s="41"/>
    </row>
    <row r="51" spans="2:11" ht="64.5" customHeight="1" x14ac:dyDescent="0.2">
      <c r="B51" s="127" t="s">
        <v>129</v>
      </c>
      <c r="C51" s="764"/>
      <c r="D51" s="765"/>
      <c r="E51" s="765"/>
      <c r="F51" s="765"/>
      <c r="G51" s="765"/>
      <c r="H51" s="765"/>
      <c r="I51" s="766"/>
      <c r="J51" s="41"/>
      <c r="K51" s="41"/>
    </row>
    <row r="52" spans="2:11" ht="29.25" customHeight="1" x14ac:dyDescent="0.2">
      <c r="B52" s="435" t="s">
        <v>130</v>
      </c>
      <c r="C52" s="436"/>
      <c r="D52" s="436"/>
      <c r="E52" s="436"/>
      <c r="F52" s="436"/>
      <c r="G52" s="436"/>
      <c r="H52" s="436"/>
      <c r="I52" s="437"/>
      <c r="J52" s="41"/>
      <c r="K52" s="41"/>
    </row>
    <row r="53" spans="2:11" ht="33" customHeight="1" x14ac:dyDescent="0.2">
      <c r="B53" s="445" t="s">
        <v>131</v>
      </c>
      <c r="C53" s="128" t="s">
        <v>132</v>
      </c>
      <c r="D53" s="446" t="s">
        <v>133</v>
      </c>
      <c r="E53" s="446"/>
      <c r="F53" s="446"/>
      <c r="G53" s="446" t="s">
        <v>134</v>
      </c>
      <c r="H53" s="446"/>
      <c r="I53" s="447"/>
      <c r="J53" s="42"/>
      <c r="K53" s="42"/>
    </row>
    <row r="54" spans="2:11" ht="31.5" customHeight="1" x14ac:dyDescent="0.2">
      <c r="B54" s="445"/>
      <c r="C54" s="107"/>
      <c r="D54" s="440"/>
      <c r="E54" s="440"/>
      <c r="F54" s="440"/>
      <c r="G54" s="448"/>
      <c r="H54" s="448"/>
      <c r="I54" s="449"/>
      <c r="J54" s="42"/>
      <c r="K54" s="42"/>
    </row>
    <row r="55" spans="2:11" ht="31.5" customHeight="1" x14ac:dyDescent="0.2">
      <c r="B55" s="127" t="s">
        <v>135</v>
      </c>
      <c r="C55" s="762" t="s">
        <v>173</v>
      </c>
      <c r="D55" s="763"/>
      <c r="E55" s="462" t="s">
        <v>136</v>
      </c>
      <c r="F55" s="462"/>
      <c r="G55" s="461" t="s">
        <v>158</v>
      </c>
      <c r="H55" s="461"/>
      <c r="I55" s="463"/>
      <c r="J55" s="44"/>
      <c r="K55" s="44"/>
    </row>
    <row r="56" spans="2:11" ht="31.5" customHeight="1" x14ac:dyDescent="0.2">
      <c r="B56" s="127" t="s">
        <v>137</v>
      </c>
      <c r="C56" s="440" t="str">
        <f>+'[3]HV 1'!C56:D56</f>
        <v>NICOLAS ADOLFO CORREAL HUERTAS</v>
      </c>
      <c r="D56" s="440"/>
      <c r="E56" s="464" t="s">
        <v>138</v>
      </c>
      <c r="F56" s="464"/>
      <c r="G56" s="461" t="str">
        <f>+'[9]HV 1'!G59:I59</f>
        <v>DIANA VIDAL</v>
      </c>
      <c r="H56" s="461"/>
      <c r="I56" s="463"/>
      <c r="J56" s="44"/>
      <c r="K56" s="44"/>
    </row>
    <row r="57" spans="2:11" ht="31.5" customHeight="1" x14ac:dyDescent="0.2">
      <c r="B57" s="127" t="s">
        <v>139</v>
      </c>
      <c r="C57" s="440"/>
      <c r="D57" s="440"/>
      <c r="E57" s="450" t="s">
        <v>140</v>
      </c>
      <c r="F57" s="451"/>
      <c r="G57" s="454"/>
      <c r="H57" s="455"/>
      <c r="I57" s="456"/>
      <c r="J57" s="45"/>
      <c r="K57" s="45"/>
    </row>
    <row r="58" spans="2:11" ht="31.5" customHeight="1" thickBot="1" x14ac:dyDescent="0.25">
      <c r="B58" s="78" t="s">
        <v>141</v>
      </c>
      <c r="C58" s="460"/>
      <c r="D58" s="460"/>
      <c r="E58" s="452"/>
      <c r="F58" s="453"/>
      <c r="G58" s="457"/>
      <c r="H58" s="458"/>
      <c r="I58" s="45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69"/>
      <c r="C1" s="472" t="s">
        <v>24</v>
      </c>
      <c r="D1" s="473"/>
      <c r="E1" s="473"/>
      <c r="F1" s="473"/>
      <c r="G1" s="473"/>
      <c r="H1" s="474"/>
      <c r="I1" s="475"/>
      <c r="J1" s="476"/>
    </row>
    <row r="2" spans="2:11" ht="18" customHeight="1" thickBot="1" x14ac:dyDescent="0.3">
      <c r="B2" s="470"/>
      <c r="C2" s="481" t="s">
        <v>25</v>
      </c>
      <c r="D2" s="482"/>
      <c r="E2" s="482"/>
      <c r="F2" s="482"/>
      <c r="G2" s="482"/>
      <c r="H2" s="483"/>
      <c r="I2" s="477"/>
      <c r="J2" s="478"/>
    </row>
    <row r="3" spans="2:11" ht="18" customHeight="1" thickBot="1" x14ac:dyDescent="0.3">
      <c r="B3" s="470"/>
      <c r="C3" s="481" t="s">
        <v>183</v>
      </c>
      <c r="D3" s="482"/>
      <c r="E3" s="482"/>
      <c r="F3" s="482"/>
      <c r="G3" s="482"/>
      <c r="H3" s="483"/>
      <c r="I3" s="477"/>
      <c r="J3" s="478"/>
    </row>
    <row r="4" spans="2:11" ht="18" customHeight="1" thickBot="1" x14ac:dyDescent="0.3">
      <c r="B4" s="471"/>
      <c r="C4" s="481" t="s">
        <v>143</v>
      </c>
      <c r="D4" s="482"/>
      <c r="E4" s="482"/>
      <c r="F4" s="483"/>
      <c r="G4" s="484" t="s">
        <v>190</v>
      </c>
      <c r="H4" s="485"/>
      <c r="I4" s="479"/>
      <c r="J4" s="480"/>
    </row>
    <row r="5" spans="2:11" ht="18" customHeight="1" thickBot="1" x14ac:dyDescent="0.3">
      <c r="B5" s="51"/>
      <c r="C5" s="52"/>
      <c r="D5" s="52"/>
      <c r="E5" s="52"/>
      <c r="F5" s="52"/>
      <c r="G5" s="52"/>
      <c r="H5" s="52"/>
      <c r="I5" s="52"/>
      <c r="J5" s="53"/>
    </row>
    <row r="6" spans="2:11" ht="51.75" customHeight="1" thickBot="1" x14ac:dyDescent="0.3">
      <c r="B6" s="1" t="s">
        <v>199</v>
      </c>
      <c r="C6" s="488" t="str">
        <f>+'[6]Sección 1. Metas - Magnitud'!C7</f>
        <v>1032 - Gestión y control de tránsito y transporte</v>
      </c>
      <c r="D6" s="489"/>
      <c r="E6" s="490"/>
      <c r="F6" s="54"/>
      <c r="G6" s="52"/>
      <c r="H6" s="52"/>
      <c r="I6" s="52"/>
      <c r="J6" s="53"/>
    </row>
    <row r="7" spans="2:11" ht="32.25" customHeight="1" thickBot="1" x14ac:dyDescent="0.3">
      <c r="B7" s="2" t="s">
        <v>0</v>
      </c>
      <c r="C7" s="488" t="str">
        <f>+'[6]Sección 1. Metas - Magnitud'!C8:F8</f>
        <v>Dirección de Control y Vigilancia</v>
      </c>
      <c r="D7" s="489"/>
      <c r="E7" s="490"/>
      <c r="F7" s="54"/>
      <c r="G7" s="52"/>
      <c r="H7" s="52"/>
      <c r="I7" s="52"/>
      <c r="J7" s="53"/>
    </row>
    <row r="8" spans="2:11" ht="32.25" customHeight="1" thickBot="1" x14ac:dyDescent="0.3">
      <c r="B8" s="2" t="s">
        <v>144</v>
      </c>
      <c r="C8" s="488" t="str">
        <f>+'[6]Sección 1. Metas - Magnitud'!C9:F9</f>
        <v>Subsecretaría de Servicios de la Movilidad</v>
      </c>
      <c r="D8" s="489"/>
      <c r="E8" s="490"/>
      <c r="F8" s="4"/>
      <c r="G8" s="52"/>
      <c r="H8" s="52"/>
      <c r="I8" s="52"/>
      <c r="J8" s="53"/>
    </row>
    <row r="9" spans="2:11" ht="33.75" customHeight="1" thickBot="1" x14ac:dyDescent="0.3">
      <c r="B9" s="2" t="s">
        <v>28</v>
      </c>
      <c r="C9" s="488" t="s">
        <v>184</v>
      </c>
      <c r="D9" s="489"/>
      <c r="E9" s="490"/>
      <c r="F9" s="54"/>
      <c r="G9" s="52"/>
      <c r="H9" s="52"/>
      <c r="I9" s="52"/>
      <c r="J9" s="53"/>
    </row>
    <row r="10" spans="2:11" ht="33.75" customHeight="1" thickBot="1" x14ac:dyDescent="0.3">
      <c r="B10" s="100" t="s">
        <v>197</v>
      </c>
      <c r="C10" s="488" t="str">
        <f>+'[9]HV 14'!F9</f>
        <v>14. Realizar 241 visitas administrativas y de seguimiento a empresas prestadoras del servicio público de transporte.</v>
      </c>
      <c r="D10" s="489"/>
      <c r="E10" s="490"/>
      <c r="F10" s="54"/>
      <c r="G10" s="52"/>
      <c r="H10" s="52"/>
      <c r="I10" s="52"/>
      <c r="J10" s="53"/>
    </row>
    <row r="11" spans="2:11" ht="34.5" customHeight="1" x14ac:dyDescent="0.25"/>
    <row r="12" spans="2:11" ht="21.75" customHeight="1" x14ac:dyDescent="0.25">
      <c r="B12" s="498" t="s">
        <v>218</v>
      </c>
      <c r="C12" s="499"/>
      <c r="D12" s="499"/>
      <c r="E12" s="499"/>
      <c r="F12" s="499"/>
      <c r="G12" s="499"/>
      <c r="H12" s="500"/>
      <c r="I12" s="796" t="s">
        <v>145</v>
      </c>
      <c r="J12" s="797"/>
      <c r="K12" s="797"/>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794"/>
    </row>
    <row r="16" spans="2:11" x14ac:dyDescent="0.25">
      <c r="B16" s="148"/>
      <c r="C16" s="149"/>
      <c r="D16" s="150"/>
      <c r="E16" s="151"/>
      <c r="F16" s="149"/>
      <c r="G16" s="150"/>
      <c r="H16" s="152"/>
      <c r="I16" s="153"/>
      <c r="J16" s="154"/>
      <c r="K16" s="795"/>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790" t="s">
        <v>17</v>
      </c>
      <c r="C19" s="791"/>
      <c r="D19" s="163">
        <f>SUM(D15:D16)</f>
        <v>0</v>
      </c>
      <c r="E19" s="792" t="s">
        <v>17</v>
      </c>
      <c r="F19" s="793"/>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66"/>
      <c r="C2" s="364" t="s">
        <v>24</v>
      </c>
      <c r="D2" s="364"/>
      <c r="E2" s="364"/>
      <c r="F2" s="364"/>
      <c r="G2" s="364"/>
      <c r="H2" s="364"/>
      <c r="I2" s="368"/>
      <c r="J2" s="13"/>
      <c r="K2" s="13"/>
      <c r="M2" s="14" t="s">
        <v>47</v>
      </c>
    </row>
    <row r="3" spans="2:14" ht="25.5" customHeight="1" x14ac:dyDescent="0.2">
      <c r="B3" s="367"/>
      <c r="C3" s="365" t="s">
        <v>25</v>
      </c>
      <c r="D3" s="365"/>
      <c r="E3" s="365"/>
      <c r="F3" s="365"/>
      <c r="G3" s="365"/>
      <c r="H3" s="365"/>
      <c r="I3" s="369"/>
      <c r="J3" s="13"/>
      <c r="K3" s="13"/>
      <c r="M3" s="14" t="s">
        <v>48</v>
      </c>
    </row>
    <row r="4" spans="2:14" ht="25.5" customHeight="1" x14ac:dyDescent="0.2">
      <c r="B4" s="367"/>
      <c r="C4" s="365" t="s">
        <v>49</v>
      </c>
      <c r="D4" s="365"/>
      <c r="E4" s="365"/>
      <c r="F4" s="365"/>
      <c r="G4" s="365"/>
      <c r="H4" s="365"/>
      <c r="I4" s="369"/>
      <c r="J4" s="13"/>
      <c r="K4" s="13"/>
      <c r="M4" s="14" t="s">
        <v>50</v>
      </c>
    </row>
    <row r="5" spans="2:14" ht="25.5" customHeight="1" x14ac:dyDescent="0.2">
      <c r="B5" s="367"/>
      <c r="C5" s="365" t="s">
        <v>51</v>
      </c>
      <c r="D5" s="365"/>
      <c r="E5" s="365"/>
      <c r="F5" s="365"/>
      <c r="G5" s="370" t="s">
        <v>52</v>
      </c>
      <c r="H5" s="370"/>
      <c r="I5" s="369"/>
      <c r="J5" s="13"/>
      <c r="K5" s="13"/>
      <c r="M5" s="14" t="s">
        <v>53</v>
      </c>
    </row>
    <row r="6" spans="2:14" ht="23.25" customHeight="1" x14ac:dyDescent="0.2">
      <c r="B6" s="371" t="s">
        <v>54</v>
      </c>
      <c r="C6" s="372"/>
      <c r="D6" s="372"/>
      <c r="E6" s="372"/>
      <c r="F6" s="372"/>
      <c r="G6" s="372"/>
      <c r="H6" s="372"/>
      <c r="I6" s="373"/>
      <c r="J6" s="15"/>
      <c r="K6" s="15"/>
    </row>
    <row r="7" spans="2:14" ht="24" customHeight="1" x14ac:dyDescent="0.2">
      <c r="B7" s="374" t="s">
        <v>55</v>
      </c>
      <c r="C7" s="375"/>
      <c r="D7" s="375"/>
      <c r="E7" s="375"/>
      <c r="F7" s="375"/>
      <c r="G7" s="375"/>
      <c r="H7" s="375"/>
      <c r="I7" s="376"/>
      <c r="J7" s="16"/>
      <c r="K7" s="16"/>
    </row>
    <row r="8" spans="2:14" ht="24" customHeight="1" x14ac:dyDescent="0.2">
      <c r="B8" s="377" t="s">
        <v>56</v>
      </c>
      <c r="C8" s="378"/>
      <c r="D8" s="378"/>
      <c r="E8" s="378"/>
      <c r="F8" s="378"/>
      <c r="G8" s="378"/>
      <c r="H8" s="378"/>
      <c r="I8" s="379"/>
      <c r="J8" s="58"/>
      <c r="K8" s="58"/>
      <c r="N8" s="6" t="s">
        <v>57</v>
      </c>
    </row>
    <row r="9" spans="2:14" ht="30.75" customHeight="1" x14ac:dyDescent="0.2">
      <c r="B9" s="113" t="s">
        <v>58</v>
      </c>
      <c r="C9" s="59">
        <v>231</v>
      </c>
      <c r="D9" s="385" t="s">
        <v>59</v>
      </c>
      <c r="E9" s="385"/>
      <c r="F9" s="386" t="s">
        <v>201</v>
      </c>
      <c r="G9" s="387"/>
      <c r="H9" s="387"/>
      <c r="I9" s="388"/>
      <c r="J9" s="17"/>
      <c r="K9" s="17"/>
      <c r="M9" s="14" t="s">
        <v>60</v>
      </c>
      <c r="N9" s="6" t="s">
        <v>61</v>
      </c>
    </row>
    <row r="10" spans="2:14" ht="30.75" customHeight="1" x14ac:dyDescent="0.2">
      <c r="B10" s="20" t="s">
        <v>62</v>
      </c>
      <c r="C10" s="60" t="s">
        <v>81</v>
      </c>
      <c r="D10" s="389" t="s">
        <v>63</v>
      </c>
      <c r="E10" s="390"/>
      <c r="F10" s="380" t="s">
        <v>155</v>
      </c>
      <c r="G10" s="381"/>
      <c r="H10" s="18" t="s">
        <v>64</v>
      </c>
      <c r="I10" s="115" t="s">
        <v>81</v>
      </c>
      <c r="J10" s="19"/>
      <c r="K10" s="19"/>
      <c r="M10" s="14" t="s">
        <v>65</v>
      </c>
      <c r="N10" s="6" t="s">
        <v>66</v>
      </c>
    </row>
    <row r="11" spans="2:14" ht="30.75" customHeight="1" x14ac:dyDescent="0.2">
      <c r="B11" s="20" t="s">
        <v>67</v>
      </c>
      <c r="C11" s="382" t="s">
        <v>156</v>
      </c>
      <c r="D11" s="382"/>
      <c r="E11" s="382"/>
      <c r="F11" s="382"/>
      <c r="G11" s="18" t="s">
        <v>68</v>
      </c>
      <c r="H11" s="383">
        <v>1032</v>
      </c>
      <c r="I11" s="384"/>
      <c r="J11" s="21"/>
      <c r="K11" s="21"/>
      <c r="M11" s="14" t="s">
        <v>69</v>
      </c>
      <c r="N11" s="6" t="s">
        <v>70</v>
      </c>
    </row>
    <row r="12" spans="2:14" ht="30.75" customHeight="1" x14ac:dyDescent="0.2">
      <c r="B12" s="20" t="s">
        <v>71</v>
      </c>
      <c r="C12" s="391" t="s">
        <v>65</v>
      </c>
      <c r="D12" s="391"/>
      <c r="E12" s="391"/>
      <c r="F12" s="391"/>
      <c r="G12" s="18" t="s">
        <v>72</v>
      </c>
      <c r="H12" s="392" t="s">
        <v>157</v>
      </c>
      <c r="I12" s="393"/>
      <c r="J12" s="22"/>
      <c r="K12" s="22"/>
      <c r="M12" s="23" t="s">
        <v>73</v>
      </c>
    </row>
    <row r="13" spans="2:14" ht="30.75" customHeight="1" x14ac:dyDescent="0.2">
      <c r="B13" s="20" t="s">
        <v>74</v>
      </c>
      <c r="C13" s="394" t="s">
        <v>45</v>
      </c>
      <c r="D13" s="394"/>
      <c r="E13" s="394"/>
      <c r="F13" s="394"/>
      <c r="G13" s="394"/>
      <c r="H13" s="394"/>
      <c r="I13" s="395"/>
      <c r="J13" s="24"/>
      <c r="K13" s="24"/>
      <c r="M13" s="23"/>
    </row>
    <row r="14" spans="2:14" ht="30.75" customHeight="1" x14ac:dyDescent="0.2">
      <c r="B14" s="20" t="s">
        <v>75</v>
      </c>
      <c r="C14" s="380" t="s">
        <v>202</v>
      </c>
      <c r="D14" s="381"/>
      <c r="E14" s="381"/>
      <c r="F14" s="381"/>
      <c r="G14" s="381"/>
      <c r="H14" s="381"/>
      <c r="I14" s="396"/>
      <c r="J14" s="19"/>
      <c r="K14" s="19"/>
      <c r="M14" s="23"/>
      <c r="N14" s="6" t="s">
        <v>76</v>
      </c>
    </row>
    <row r="15" spans="2:14" ht="30.75" customHeight="1" x14ac:dyDescent="0.2">
      <c r="B15" s="20" t="s">
        <v>77</v>
      </c>
      <c r="C15" s="397" t="s">
        <v>203</v>
      </c>
      <c r="D15" s="397"/>
      <c r="E15" s="397"/>
      <c r="F15" s="397"/>
      <c r="G15" s="18" t="s">
        <v>78</v>
      </c>
      <c r="H15" s="398" t="s">
        <v>91</v>
      </c>
      <c r="I15" s="399"/>
      <c r="J15" s="19"/>
      <c r="K15" s="19"/>
      <c r="M15" s="23" t="s">
        <v>80</v>
      </c>
      <c r="N15" s="6" t="s">
        <v>81</v>
      </c>
    </row>
    <row r="16" spans="2:14" ht="30.75" customHeight="1" x14ac:dyDescent="0.2">
      <c r="B16" s="20" t="s">
        <v>82</v>
      </c>
      <c r="C16" s="400" t="s">
        <v>215</v>
      </c>
      <c r="D16" s="401"/>
      <c r="E16" s="401"/>
      <c r="F16" s="401"/>
      <c r="G16" s="18" t="s">
        <v>83</v>
      </c>
      <c r="H16" s="398" t="s">
        <v>70</v>
      </c>
      <c r="I16" s="399"/>
      <c r="J16" s="19"/>
      <c r="K16" s="19"/>
      <c r="M16" s="23" t="s">
        <v>84</v>
      </c>
    </row>
    <row r="17" spans="2:14" ht="36" customHeight="1" x14ac:dyDescent="0.2">
      <c r="B17" s="20" t="s">
        <v>85</v>
      </c>
      <c r="C17" s="394" t="s">
        <v>204</v>
      </c>
      <c r="D17" s="394"/>
      <c r="E17" s="394"/>
      <c r="F17" s="394"/>
      <c r="G17" s="394"/>
      <c r="H17" s="394"/>
      <c r="I17" s="395"/>
      <c r="J17" s="24"/>
      <c r="K17" s="24"/>
      <c r="M17" s="23" t="s">
        <v>86</v>
      </c>
      <c r="N17" s="6" t="s">
        <v>39</v>
      </c>
    </row>
    <row r="18" spans="2:14" ht="30.75" customHeight="1" x14ac:dyDescent="0.2">
      <c r="B18" s="20" t="s">
        <v>87</v>
      </c>
      <c r="C18" s="397" t="s">
        <v>163</v>
      </c>
      <c r="D18" s="397"/>
      <c r="E18" s="397"/>
      <c r="F18" s="397"/>
      <c r="G18" s="397"/>
      <c r="H18" s="397"/>
      <c r="I18" s="402"/>
      <c r="J18" s="25"/>
      <c r="K18" s="25"/>
      <c r="M18" s="23" t="s">
        <v>88</v>
      </c>
      <c r="N18" s="6" t="s">
        <v>40</v>
      </c>
    </row>
    <row r="19" spans="2:14" ht="30.75" customHeight="1" x14ac:dyDescent="0.2">
      <c r="B19" s="20" t="s">
        <v>89</v>
      </c>
      <c r="C19" s="397" t="s">
        <v>159</v>
      </c>
      <c r="D19" s="397"/>
      <c r="E19" s="397"/>
      <c r="F19" s="397"/>
      <c r="G19" s="397"/>
      <c r="H19" s="397"/>
      <c r="I19" s="402"/>
      <c r="J19" s="26"/>
      <c r="K19" s="26"/>
      <c r="M19" s="23"/>
      <c r="N19" s="6" t="s">
        <v>41</v>
      </c>
    </row>
    <row r="20" spans="2:14" ht="30.75" customHeight="1" x14ac:dyDescent="0.2">
      <c r="B20" s="20" t="s">
        <v>90</v>
      </c>
      <c r="C20" s="403" t="s">
        <v>151</v>
      </c>
      <c r="D20" s="403"/>
      <c r="E20" s="403"/>
      <c r="F20" s="403"/>
      <c r="G20" s="403"/>
      <c r="H20" s="403"/>
      <c r="I20" s="404"/>
      <c r="J20" s="27"/>
      <c r="K20" s="27"/>
      <c r="M20" s="23" t="s">
        <v>91</v>
      </c>
      <c r="N20" s="6" t="s">
        <v>42</v>
      </c>
    </row>
    <row r="21" spans="2:14" ht="27.75" customHeight="1" x14ac:dyDescent="0.2">
      <c r="B21" s="405" t="s">
        <v>92</v>
      </c>
      <c r="C21" s="407" t="s">
        <v>93</v>
      </c>
      <c r="D21" s="407"/>
      <c r="E21" s="407"/>
      <c r="F21" s="408" t="s">
        <v>94</v>
      </c>
      <c r="G21" s="408"/>
      <c r="H21" s="408"/>
      <c r="I21" s="409"/>
      <c r="J21" s="28"/>
      <c r="K21" s="28"/>
      <c r="M21" s="23" t="s">
        <v>79</v>
      </c>
      <c r="N21" s="6" t="s">
        <v>43</v>
      </c>
    </row>
    <row r="22" spans="2:14" ht="27" customHeight="1" x14ac:dyDescent="0.2">
      <c r="B22" s="406"/>
      <c r="C22" s="397" t="s">
        <v>160</v>
      </c>
      <c r="D22" s="397"/>
      <c r="E22" s="397"/>
      <c r="F22" s="397" t="s">
        <v>161</v>
      </c>
      <c r="G22" s="397"/>
      <c r="H22" s="397"/>
      <c r="I22" s="402"/>
      <c r="J22" s="26"/>
      <c r="K22" s="26"/>
      <c r="M22" s="23" t="s">
        <v>95</v>
      </c>
      <c r="N22" s="6" t="s">
        <v>44</v>
      </c>
    </row>
    <row r="23" spans="2:14" ht="39.75" customHeight="1" x14ac:dyDescent="0.2">
      <c r="B23" s="20" t="s">
        <v>96</v>
      </c>
      <c r="C23" s="398" t="s">
        <v>151</v>
      </c>
      <c r="D23" s="398"/>
      <c r="E23" s="398"/>
      <c r="F23" s="398" t="s">
        <v>151</v>
      </c>
      <c r="G23" s="398"/>
      <c r="H23" s="398"/>
      <c r="I23" s="399"/>
      <c r="J23" s="19"/>
      <c r="K23" s="19"/>
      <c r="M23" s="23"/>
      <c r="N23" s="6" t="s">
        <v>45</v>
      </c>
    </row>
    <row r="24" spans="2:14" ht="44.25" customHeight="1" x14ac:dyDescent="0.2">
      <c r="B24" s="20" t="s">
        <v>97</v>
      </c>
      <c r="C24" s="419" t="s">
        <v>205</v>
      </c>
      <c r="D24" s="420"/>
      <c r="E24" s="421"/>
      <c r="F24" s="386" t="s">
        <v>206</v>
      </c>
      <c r="G24" s="387"/>
      <c r="H24" s="387"/>
      <c r="I24" s="388"/>
      <c r="J24" s="25"/>
      <c r="K24" s="25"/>
      <c r="M24" s="29"/>
      <c r="N24" s="6" t="s">
        <v>46</v>
      </c>
    </row>
    <row r="25" spans="2:14" ht="29.25" customHeight="1" x14ac:dyDescent="0.2">
      <c r="B25" s="20" t="s">
        <v>98</v>
      </c>
      <c r="C25" s="422" t="s">
        <v>215</v>
      </c>
      <c r="D25" s="423"/>
      <c r="E25" s="424"/>
      <c r="F25" s="18" t="s">
        <v>99</v>
      </c>
      <c r="G25" s="425">
        <v>0.3</v>
      </c>
      <c r="H25" s="426"/>
      <c r="I25" s="427"/>
      <c r="J25" s="30"/>
      <c r="K25" s="30"/>
      <c r="M25" s="29"/>
    </row>
    <row r="26" spans="2:14" ht="27" customHeight="1" x14ac:dyDescent="0.2">
      <c r="B26" s="20" t="s">
        <v>100</v>
      </c>
      <c r="C26" s="386" t="s">
        <v>216</v>
      </c>
      <c r="D26" s="387"/>
      <c r="E26" s="428"/>
      <c r="F26" s="18" t="s">
        <v>101</v>
      </c>
      <c r="G26" s="429">
        <v>0.3</v>
      </c>
      <c r="H26" s="430"/>
      <c r="I26" s="431"/>
      <c r="J26" s="31"/>
      <c r="K26" s="31"/>
      <c r="M26" s="29"/>
    </row>
    <row r="27" spans="2:14" ht="47.25" customHeight="1" x14ac:dyDescent="0.2">
      <c r="B27" s="112" t="s">
        <v>102</v>
      </c>
      <c r="C27" s="432" t="s">
        <v>86</v>
      </c>
      <c r="D27" s="433"/>
      <c r="E27" s="434"/>
      <c r="F27" s="32" t="s">
        <v>103</v>
      </c>
      <c r="G27" s="429" t="s">
        <v>182</v>
      </c>
      <c r="H27" s="430"/>
      <c r="I27" s="431"/>
      <c r="J27" s="28"/>
      <c r="K27" s="28"/>
      <c r="M27" s="29"/>
    </row>
    <row r="28" spans="2:14" ht="30" customHeight="1" x14ac:dyDescent="0.2">
      <c r="B28" s="435" t="s">
        <v>104</v>
      </c>
      <c r="C28" s="436"/>
      <c r="D28" s="436"/>
      <c r="E28" s="436"/>
      <c r="F28" s="436"/>
      <c r="G28" s="436"/>
      <c r="H28" s="436"/>
      <c r="I28" s="43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438" t="s">
        <v>224</v>
      </c>
      <c r="D42" s="438"/>
      <c r="E42" s="438"/>
      <c r="F42" s="438"/>
      <c r="G42" s="438"/>
      <c r="H42" s="438"/>
      <c r="I42" s="439"/>
      <c r="J42" s="39"/>
      <c r="K42" s="39"/>
    </row>
    <row r="43" spans="2:11" ht="29.25" customHeight="1" x14ac:dyDescent="0.2">
      <c r="B43" s="435" t="s">
        <v>126</v>
      </c>
      <c r="C43" s="436"/>
      <c r="D43" s="436"/>
      <c r="E43" s="436"/>
      <c r="F43" s="436"/>
      <c r="G43" s="436"/>
      <c r="H43" s="436"/>
      <c r="I43" s="437"/>
      <c r="J43" s="58"/>
      <c r="K43" s="58"/>
    </row>
    <row r="44" spans="2:11" ht="32.25" customHeight="1" x14ac:dyDescent="0.2">
      <c r="B44" s="410"/>
      <c r="C44" s="411"/>
      <c r="D44" s="411"/>
      <c r="E44" s="411"/>
      <c r="F44" s="411"/>
      <c r="G44" s="411"/>
      <c r="H44" s="411"/>
      <c r="I44" s="412"/>
      <c r="J44" s="58"/>
      <c r="K44" s="58"/>
    </row>
    <row r="45" spans="2:11" ht="32.25" customHeight="1" x14ac:dyDescent="0.2">
      <c r="B45" s="413"/>
      <c r="C45" s="414"/>
      <c r="D45" s="414"/>
      <c r="E45" s="414"/>
      <c r="F45" s="414"/>
      <c r="G45" s="414"/>
      <c r="H45" s="414"/>
      <c r="I45" s="415"/>
      <c r="J45" s="39"/>
      <c r="K45" s="39"/>
    </row>
    <row r="46" spans="2:11" ht="32.25" customHeight="1" x14ac:dyDescent="0.2">
      <c r="B46" s="413"/>
      <c r="C46" s="414"/>
      <c r="D46" s="414"/>
      <c r="E46" s="414"/>
      <c r="F46" s="414"/>
      <c r="G46" s="414"/>
      <c r="H46" s="414"/>
      <c r="I46" s="415"/>
      <c r="J46" s="39"/>
      <c r="K46" s="39"/>
    </row>
    <row r="47" spans="2:11" ht="32.25" customHeight="1" x14ac:dyDescent="0.2">
      <c r="B47" s="413"/>
      <c r="C47" s="414"/>
      <c r="D47" s="414"/>
      <c r="E47" s="414"/>
      <c r="F47" s="414"/>
      <c r="G47" s="414"/>
      <c r="H47" s="414"/>
      <c r="I47" s="415"/>
      <c r="J47" s="39"/>
      <c r="K47" s="39"/>
    </row>
    <row r="48" spans="2:11" ht="32.25" customHeight="1" x14ac:dyDescent="0.2">
      <c r="B48" s="416"/>
      <c r="C48" s="417"/>
      <c r="D48" s="417"/>
      <c r="E48" s="417"/>
      <c r="F48" s="417"/>
      <c r="G48" s="417"/>
      <c r="H48" s="417"/>
      <c r="I48" s="418"/>
      <c r="J48" s="40"/>
      <c r="K48" s="40"/>
    </row>
    <row r="49" spans="2:11" ht="83.25" customHeight="1" x14ac:dyDescent="0.2">
      <c r="B49" s="20" t="s">
        <v>127</v>
      </c>
      <c r="C49" s="438" t="s">
        <v>224</v>
      </c>
      <c r="D49" s="438"/>
      <c r="E49" s="438"/>
      <c r="F49" s="438"/>
      <c r="G49" s="438"/>
      <c r="H49" s="438"/>
      <c r="I49" s="439"/>
      <c r="J49" s="41"/>
      <c r="K49" s="41"/>
    </row>
    <row r="50" spans="2:11" ht="34.5" customHeight="1" x14ac:dyDescent="0.2">
      <c r="B50" s="20" t="s">
        <v>128</v>
      </c>
      <c r="C50" s="440" t="s">
        <v>182</v>
      </c>
      <c r="D50" s="440"/>
      <c r="E50" s="440"/>
      <c r="F50" s="440"/>
      <c r="G50" s="440"/>
      <c r="H50" s="440"/>
      <c r="I50" s="441"/>
      <c r="J50" s="41"/>
      <c r="K50" s="41"/>
    </row>
    <row r="51" spans="2:11" ht="34.5" customHeight="1" x14ac:dyDescent="0.2">
      <c r="B51" s="114" t="s">
        <v>129</v>
      </c>
      <c r="C51" s="442" t="s">
        <v>225</v>
      </c>
      <c r="D51" s="443"/>
      <c r="E51" s="443"/>
      <c r="F51" s="443"/>
      <c r="G51" s="443"/>
      <c r="H51" s="443"/>
      <c r="I51" s="444"/>
      <c r="J51" s="41"/>
      <c r="K51" s="41"/>
    </row>
    <row r="52" spans="2:11" ht="29.25" customHeight="1" x14ac:dyDescent="0.2">
      <c r="B52" s="435" t="s">
        <v>130</v>
      </c>
      <c r="C52" s="436"/>
      <c r="D52" s="436"/>
      <c r="E52" s="436"/>
      <c r="F52" s="436"/>
      <c r="G52" s="436"/>
      <c r="H52" s="436"/>
      <c r="I52" s="437"/>
      <c r="J52" s="41"/>
      <c r="K52" s="41"/>
    </row>
    <row r="53" spans="2:11" ht="33" customHeight="1" x14ac:dyDescent="0.2">
      <c r="B53" s="445" t="s">
        <v>131</v>
      </c>
      <c r="C53" s="111" t="s">
        <v>132</v>
      </c>
      <c r="D53" s="446" t="s">
        <v>133</v>
      </c>
      <c r="E53" s="446"/>
      <c r="F53" s="446"/>
      <c r="G53" s="446" t="s">
        <v>134</v>
      </c>
      <c r="H53" s="446"/>
      <c r="I53" s="447"/>
      <c r="J53" s="42"/>
      <c r="K53" s="42"/>
    </row>
    <row r="54" spans="2:11" ht="31.5" customHeight="1" x14ac:dyDescent="0.2">
      <c r="B54" s="445"/>
      <c r="C54" s="43"/>
      <c r="D54" s="440"/>
      <c r="E54" s="440"/>
      <c r="F54" s="440"/>
      <c r="G54" s="448"/>
      <c r="H54" s="448"/>
      <c r="I54" s="449"/>
      <c r="J54" s="42"/>
      <c r="K54" s="42"/>
    </row>
    <row r="55" spans="2:11" ht="31.5" customHeight="1" x14ac:dyDescent="0.2">
      <c r="B55" s="114" t="s">
        <v>135</v>
      </c>
      <c r="C55" s="461" t="s">
        <v>164</v>
      </c>
      <c r="D55" s="461"/>
      <c r="E55" s="462" t="s">
        <v>136</v>
      </c>
      <c r="F55" s="462"/>
      <c r="G55" s="461" t="s">
        <v>186</v>
      </c>
      <c r="H55" s="461"/>
      <c r="I55" s="463"/>
      <c r="J55" s="44"/>
      <c r="K55" s="44"/>
    </row>
    <row r="56" spans="2:11" ht="31.5" customHeight="1" x14ac:dyDescent="0.2">
      <c r="B56" s="114" t="s">
        <v>137</v>
      </c>
      <c r="C56" s="440" t="str">
        <f>+'[3]HV 1'!C56:D56</f>
        <v>NICOLAS ADOLFO CORREAL HUERTAS</v>
      </c>
      <c r="D56" s="440"/>
      <c r="E56" s="464" t="s">
        <v>138</v>
      </c>
      <c r="F56" s="464"/>
      <c r="G56" s="461" t="str">
        <f>+'[4]HV 1'!G56:I56</f>
        <v>DIANA VIDAL</v>
      </c>
      <c r="H56" s="461"/>
      <c r="I56" s="463"/>
      <c r="J56" s="44"/>
      <c r="K56" s="44"/>
    </row>
    <row r="57" spans="2:11" ht="31.5" customHeight="1" x14ac:dyDescent="0.2">
      <c r="B57" s="114" t="s">
        <v>139</v>
      </c>
      <c r="C57" s="440"/>
      <c r="D57" s="440"/>
      <c r="E57" s="450" t="s">
        <v>140</v>
      </c>
      <c r="F57" s="451"/>
      <c r="G57" s="454"/>
      <c r="H57" s="455"/>
      <c r="I57" s="456"/>
      <c r="J57" s="45"/>
      <c r="K57" s="45"/>
    </row>
    <row r="58" spans="2:11" ht="31.5" customHeight="1" thickBot="1" x14ac:dyDescent="0.25">
      <c r="B58" s="78" t="s">
        <v>141</v>
      </c>
      <c r="C58" s="460"/>
      <c r="D58" s="460"/>
      <c r="E58" s="452"/>
      <c r="F58" s="453"/>
      <c r="G58" s="457"/>
      <c r="H58" s="458"/>
      <c r="I58" s="45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69"/>
      <c r="C1" s="472" t="s">
        <v>24</v>
      </c>
      <c r="D1" s="473"/>
      <c r="E1" s="473"/>
      <c r="F1" s="473"/>
      <c r="G1" s="473"/>
      <c r="H1" s="474"/>
      <c r="I1" s="475"/>
      <c r="J1" s="476"/>
    </row>
    <row r="2" spans="2:13" ht="18" customHeight="1" thickBot="1" x14ac:dyDescent="0.3">
      <c r="B2" s="470"/>
      <c r="C2" s="481" t="s">
        <v>25</v>
      </c>
      <c r="D2" s="482"/>
      <c r="E2" s="482"/>
      <c r="F2" s="482"/>
      <c r="G2" s="482"/>
      <c r="H2" s="483"/>
      <c r="I2" s="477"/>
      <c r="J2" s="478"/>
    </row>
    <row r="3" spans="2:13" ht="18" customHeight="1" thickBot="1" x14ac:dyDescent="0.3">
      <c r="B3" s="470"/>
      <c r="C3" s="481" t="s">
        <v>142</v>
      </c>
      <c r="D3" s="482"/>
      <c r="E3" s="482"/>
      <c r="F3" s="482"/>
      <c r="G3" s="482"/>
      <c r="H3" s="483"/>
      <c r="I3" s="477"/>
      <c r="J3" s="478"/>
    </row>
    <row r="4" spans="2:13" ht="18" customHeight="1" thickBot="1" x14ac:dyDescent="0.3">
      <c r="B4" s="471"/>
      <c r="C4" s="481" t="s">
        <v>143</v>
      </c>
      <c r="D4" s="482"/>
      <c r="E4" s="482"/>
      <c r="F4" s="483"/>
      <c r="G4" s="484" t="s">
        <v>190</v>
      </c>
      <c r="H4" s="485"/>
      <c r="I4" s="479"/>
      <c r="J4" s="480"/>
    </row>
    <row r="5" spans="2:13" ht="18" customHeight="1" thickBot="1" x14ac:dyDescent="0.3">
      <c r="B5" s="51"/>
      <c r="C5" s="52"/>
      <c r="D5" s="52"/>
      <c r="E5" s="52"/>
      <c r="F5" s="52"/>
      <c r="G5" s="52"/>
      <c r="H5" s="52"/>
      <c r="I5" s="52"/>
      <c r="J5" s="53"/>
    </row>
    <row r="6" spans="2:13" ht="51.75" customHeight="1" thickBot="1" x14ac:dyDescent="0.3">
      <c r="B6" s="1" t="s">
        <v>185</v>
      </c>
      <c r="C6" s="488" t="str">
        <f>+'[6]Sección 1. Metas - Magnitud'!C7</f>
        <v>1032 - Gestión y control de tránsito y transporte</v>
      </c>
      <c r="D6" s="489"/>
      <c r="E6" s="490"/>
      <c r="F6" s="54"/>
      <c r="G6" s="52"/>
      <c r="H6" s="52"/>
      <c r="I6" s="52"/>
      <c r="J6" s="53"/>
    </row>
    <row r="7" spans="2:13" ht="32.25" customHeight="1" thickBot="1" x14ac:dyDescent="0.3">
      <c r="B7" s="2" t="s">
        <v>0</v>
      </c>
      <c r="C7" s="488" t="str">
        <f>+'[6]Sección 1. Metas - Magnitud'!C8:F8</f>
        <v>Dirección de Control y Vigilancia</v>
      </c>
      <c r="D7" s="489"/>
      <c r="E7" s="490"/>
      <c r="F7" s="54"/>
      <c r="G7" s="52"/>
      <c r="H7" s="52"/>
      <c r="I7" s="52"/>
      <c r="J7" s="53"/>
    </row>
    <row r="8" spans="2:13" ht="32.25" customHeight="1" thickBot="1" x14ac:dyDescent="0.3">
      <c r="B8" s="2" t="s">
        <v>144</v>
      </c>
      <c r="C8" s="488" t="str">
        <f>+'[6]Sección 1. Metas - Magnitud'!C9:F9</f>
        <v>Subsecretaría de Servicios de la Movilidad</v>
      </c>
      <c r="D8" s="489"/>
      <c r="E8" s="490"/>
      <c r="F8" s="4"/>
      <c r="G8" s="52"/>
      <c r="H8" s="52"/>
      <c r="I8" s="52"/>
      <c r="J8" s="53"/>
    </row>
    <row r="9" spans="2:13" ht="33.75" customHeight="1" thickBot="1" x14ac:dyDescent="0.3">
      <c r="B9" s="2" t="s">
        <v>28</v>
      </c>
      <c r="C9" s="488" t="s">
        <v>184</v>
      </c>
      <c r="D9" s="489"/>
      <c r="E9" s="490"/>
      <c r="F9" s="54"/>
      <c r="G9" s="52"/>
      <c r="H9" s="52"/>
      <c r="I9" s="52"/>
      <c r="J9" s="53"/>
    </row>
    <row r="10" spans="2:13" ht="32.25" customHeight="1" thickBot="1" x14ac:dyDescent="0.3">
      <c r="B10" s="2" t="s">
        <v>197</v>
      </c>
      <c r="C10" s="488" t="s">
        <v>202</v>
      </c>
      <c r="D10" s="489"/>
      <c r="E10" s="490"/>
    </row>
    <row r="12" spans="2:13" x14ac:dyDescent="0.25">
      <c r="B12" s="498" t="s">
        <v>217</v>
      </c>
      <c r="C12" s="499"/>
      <c r="D12" s="499"/>
      <c r="E12" s="499"/>
      <c r="F12" s="499"/>
      <c r="G12" s="499"/>
      <c r="H12" s="500"/>
      <c r="I12" s="492" t="s">
        <v>145</v>
      </c>
      <c r="J12" s="493"/>
      <c r="K12" s="493"/>
    </row>
    <row r="13" spans="2:13" s="56" customFormat="1" ht="30" customHeight="1" x14ac:dyDescent="0.25">
      <c r="B13" s="486" t="s">
        <v>146</v>
      </c>
      <c r="C13" s="486" t="s">
        <v>147</v>
      </c>
      <c r="D13" s="486" t="s">
        <v>196</v>
      </c>
      <c r="E13" s="486" t="s">
        <v>148</v>
      </c>
      <c r="F13" s="486" t="s">
        <v>149</v>
      </c>
      <c r="G13" s="486" t="s">
        <v>191</v>
      </c>
      <c r="H13" s="486" t="s">
        <v>192</v>
      </c>
      <c r="I13" s="494" t="s">
        <v>193</v>
      </c>
      <c r="J13" s="496" t="s">
        <v>194</v>
      </c>
      <c r="K13" s="491" t="s">
        <v>195</v>
      </c>
    </row>
    <row r="14" spans="2:13" s="56" customFormat="1" x14ac:dyDescent="0.25">
      <c r="B14" s="487"/>
      <c r="C14" s="487"/>
      <c r="D14" s="487"/>
      <c r="E14" s="487"/>
      <c r="F14" s="487"/>
      <c r="G14" s="487"/>
      <c r="H14" s="487"/>
      <c r="I14" s="495"/>
      <c r="J14" s="497"/>
      <c r="K14" s="491"/>
    </row>
    <row r="15" spans="2:13" s="56" customFormat="1" ht="120" x14ac:dyDescent="0.25">
      <c r="B15" s="96">
        <v>1</v>
      </c>
      <c r="C15" s="140" t="s">
        <v>229</v>
      </c>
      <c r="D15" s="95">
        <v>0.19</v>
      </c>
      <c r="E15" s="91"/>
      <c r="F15" s="93" t="s">
        <v>230</v>
      </c>
      <c r="G15" s="169">
        <v>0.19</v>
      </c>
      <c r="H15" s="106">
        <v>43160</v>
      </c>
      <c r="I15" s="104">
        <v>0.19</v>
      </c>
      <c r="J15" s="110">
        <v>43132</v>
      </c>
      <c r="K15" s="101"/>
      <c r="M15" s="108"/>
    </row>
    <row r="16" spans="2:13" ht="75" x14ac:dyDescent="0.25">
      <c r="B16" s="139">
        <v>2</v>
      </c>
      <c r="C16" s="102" t="s">
        <v>231</v>
      </c>
      <c r="D16" s="95">
        <v>0.02</v>
      </c>
      <c r="E16" s="91"/>
      <c r="F16" s="93" t="s">
        <v>232</v>
      </c>
      <c r="G16" s="169">
        <v>0.02</v>
      </c>
      <c r="H16" s="106">
        <v>43344</v>
      </c>
      <c r="I16" s="104"/>
      <c r="J16" s="110"/>
      <c r="K16" s="101"/>
      <c r="M16" s="109"/>
    </row>
    <row r="17" spans="2:11" ht="90" x14ac:dyDescent="0.25">
      <c r="B17" s="168">
        <v>3</v>
      </c>
      <c r="C17" s="75" t="s">
        <v>226</v>
      </c>
      <c r="D17" s="95">
        <v>0.04</v>
      </c>
      <c r="E17" s="91"/>
      <c r="F17" s="93" t="s">
        <v>233</v>
      </c>
      <c r="G17" s="169">
        <v>0.04</v>
      </c>
      <c r="H17" s="106">
        <v>43435</v>
      </c>
      <c r="I17" s="104"/>
      <c r="J17" s="110"/>
      <c r="K17" s="101"/>
    </row>
    <row r="18" spans="2:11" x14ac:dyDescent="0.25">
      <c r="B18" s="465" t="s">
        <v>17</v>
      </c>
      <c r="C18" s="466"/>
      <c r="D18" s="57">
        <f>SUM(D15:D17)</f>
        <v>0.25</v>
      </c>
      <c r="E18" s="467" t="s">
        <v>17</v>
      </c>
      <c r="F18" s="468"/>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1EE94-3FC3-469A-836C-E51296E28CDC}">
  <sheetPr>
    <tabColor rgb="FF92D050"/>
  </sheetPr>
  <dimension ref="A1:X60"/>
  <sheetViews>
    <sheetView tabSelected="1" topLeftCell="A9" zoomScale="85" zoomScaleNormal="85" zoomScalePageLayoutView="85" workbookViewId="0">
      <selection activeCell="D29" sqref="D29"/>
    </sheetView>
  </sheetViews>
  <sheetFormatPr baseColWidth="10" defaultColWidth="10.85546875" defaultRowHeight="12.75" x14ac:dyDescent="0.2"/>
  <cols>
    <col min="1" max="1" width="1" style="173" customWidth="1"/>
    <col min="2" max="2" width="25.42578125" style="208" customWidth="1"/>
    <col min="3" max="3" width="14.5703125" style="173" customWidth="1"/>
    <col min="4" max="4" width="15.7109375" style="173" customWidth="1"/>
    <col min="5" max="5" width="23.42578125" style="173" customWidth="1"/>
    <col min="6" max="6" width="20.85546875" style="173" customWidth="1"/>
    <col min="7" max="7" width="19.85546875" style="208" customWidth="1"/>
    <col min="8" max="8" width="19.85546875" style="173" customWidth="1"/>
    <col min="9" max="9" width="16.28515625" style="173" customWidth="1"/>
    <col min="10" max="11" width="22.42578125" style="173" customWidth="1"/>
    <col min="12" max="24" width="10.85546875" style="171"/>
    <col min="25" max="16384" width="10.85546875" style="173"/>
  </cols>
  <sheetData>
    <row r="1" spans="1:15" ht="37.5" customHeight="1" x14ac:dyDescent="0.2">
      <c r="A1" s="281"/>
      <c r="B1" s="501"/>
      <c r="C1" s="504" t="s">
        <v>25</v>
      </c>
      <c r="D1" s="504"/>
      <c r="E1" s="504"/>
      <c r="F1" s="504"/>
      <c r="G1" s="504"/>
      <c r="H1" s="504"/>
      <c r="I1" s="505"/>
      <c r="J1" s="170"/>
      <c r="K1" s="170"/>
      <c r="L1" s="213"/>
      <c r="M1" s="214" t="s">
        <v>47</v>
      </c>
      <c r="N1" s="213"/>
      <c r="O1" s="213"/>
    </row>
    <row r="2" spans="1:15" ht="37.5" customHeight="1" x14ac:dyDescent="0.2">
      <c r="A2" s="282"/>
      <c r="B2" s="502"/>
      <c r="C2" s="508" t="s">
        <v>239</v>
      </c>
      <c r="D2" s="508"/>
      <c r="E2" s="508"/>
      <c r="F2" s="508"/>
      <c r="G2" s="508"/>
      <c r="H2" s="508"/>
      <c r="I2" s="506"/>
      <c r="J2" s="170"/>
      <c r="K2" s="170"/>
      <c r="L2" s="213"/>
      <c r="M2" s="214" t="s">
        <v>48</v>
      </c>
      <c r="N2" s="213"/>
      <c r="O2" s="213"/>
    </row>
    <row r="3" spans="1:15" ht="37.5" customHeight="1" thickBot="1" x14ac:dyDescent="0.25">
      <c r="A3" s="282"/>
      <c r="B3" s="503"/>
      <c r="C3" s="509" t="s">
        <v>240</v>
      </c>
      <c r="D3" s="509"/>
      <c r="E3" s="509"/>
      <c r="F3" s="509" t="s">
        <v>241</v>
      </c>
      <c r="G3" s="509"/>
      <c r="H3" s="509"/>
      <c r="I3" s="507"/>
      <c r="J3" s="170"/>
      <c r="K3" s="170"/>
      <c r="L3" s="213"/>
      <c r="M3" s="214" t="s">
        <v>50</v>
      </c>
      <c r="N3" s="213"/>
      <c r="O3" s="213"/>
    </row>
    <row r="4" spans="1:15" ht="23.25" customHeight="1" x14ac:dyDescent="0.2">
      <c r="A4" s="282"/>
      <c r="B4" s="510"/>
      <c r="C4" s="511"/>
      <c r="D4" s="511"/>
      <c r="E4" s="511"/>
      <c r="F4" s="511"/>
      <c r="G4" s="511"/>
      <c r="H4" s="511"/>
      <c r="I4" s="512"/>
      <c r="J4" s="174"/>
      <c r="K4" s="174"/>
      <c r="L4" s="213"/>
      <c r="M4" s="213"/>
      <c r="N4" s="213"/>
      <c r="O4" s="213"/>
    </row>
    <row r="5" spans="1:15" ht="24" customHeight="1" x14ac:dyDescent="0.2">
      <c r="A5" s="282"/>
      <c r="B5" s="513" t="s">
        <v>234</v>
      </c>
      <c r="C5" s="514"/>
      <c r="D5" s="514"/>
      <c r="E5" s="514"/>
      <c r="F5" s="514"/>
      <c r="G5" s="514"/>
      <c r="H5" s="514"/>
      <c r="I5" s="515"/>
      <c r="J5" s="175"/>
      <c r="K5" s="175"/>
      <c r="L5" s="213"/>
      <c r="M5" s="213"/>
      <c r="N5" s="213" t="s">
        <v>57</v>
      </c>
      <c r="O5" s="213"/>
    </row>
    <row r="6" spans="1:15" ht="30.75" customHeight="1" x14ac:dyDescent="0.2">
      <c r="A6" s="282"/>
      <c r="B6" s="224" t="s">
        <v>242</v>
      </c>
      <c r="C6" s="222">
        <v>1</v>
      </c>
      <c r="D6" s="516" t="s">
        <v>243</v>
      </c>
      <c r="E6" s="516"/>
      <c r="F6" s="517" t="str">
        <f>'[7]Proyecto 7550'!$N$9</f>
        <v>Realizar diagnóstico e implementación de cargas laborales del Instituto Distrital de Protección y Bienestar Animal</v>
      </c>
      <c r="G6" s="517"/>
      <c r="H6" s="517"/>
      <c r="I6" s="518"/>
      <c r="J6" s="177"/>
      <c r="K6" s="177"/>
      <c r="L6" s="213"/>
      <c r="M6" s="214" t="s">
        <v>60</v>
      </c>
      <c r="N6" s="213" t="s">
        <v>61</v>
      </c>
      <c r="O6" s="213"/>
    </row>
    <row r="7" spans="1:15" ht="30.75" customHeight="1" x14ac:dyDescent="0.2">
      <c r="A7" s="282"/>
      <c r="B7" s="224" t="s">
        <v>244</v>
      </c>
      <c r="C7" s="222" t="s">
        <v>81</v>
      </c>
      <c r="D7" s="516" t="s">
        <v>245</v>
      </c>
      <c r="E7" s="516"/>
      <c r="F7" s="519" t="s">
        <v>332</v>
      </c>
      <c r="G7" s="519"/>
      <c r="H7" s="283" t="s">
        <v>246</v>
      </c>
      <c r="I7" s="223" t="s">
        <v>81</v>
      </c>
      <c r="J7" s="179"/>
      <c r="K7" s="179"/>
      <c r="L7" s="213"/>
      <c r="M7" s="214" t="s">
        <v>65</v>
      </c>
      <c r="N7" s="213" t="s">
        <v>66</v>
      </c>
      <c r="O7" s="213"/>
    </row>
    <row r="8" spans="1:15" ht="30.75" customHeight="1" x14ac:dyDescent="0.2">
      <c r="A8" s="282"/>
      <c r="B8" s="224" t="s">
        <v>247</v>
      </c>
      <c r="C8" s="517" t="s">
        <v>289</v>
      </c>
      <c r="D8" s="517"/>
      <c r="E8" s="517"/>
      <c r="F8" s="517"/>
      <c r="G8" s="221" t="s">
        <v>248</v>
      </c>
      <c r="H8" s="522">
        <v>7550</v>
      </c>
      <c r="I8" s="523"/>
      <c r="J8" s="180"/>
      <c r="K8" s="180"/>
      <c r="L8" s="213"/>
      <c r="M8" s="214" t="s">
        <v>69</v>
      </c>
      <c r="N8" s="213" t="s">
        <v>70</v>
      </c>
      <c r="O8" s="213"/>
    </row>
    <row r="9" spans="1:15" ht="30.75" customHeight="1" x14ac:dyDescent="0.2">
      <c r="A9" s="282"/>
      <c r="B9" s="224" t="s">
        <v>48</v>
      </c>
      <c r="C9" s="524" t="s">
        <v>60</v>
      </c>
      <c r="D9" s="524"/>
      <c r="E9" s="524"/>
      <c r="F9" s="524"/>
      <c r="G9" s="221" t="s">
        <v>249</v>
      </c>
      <c r="H9" s="525" t="s">
        <v>290</v>
      </c>
      <c r="I9" s="526"/>
      <c r="J9" s="181"/>
      <c r="K9" s="181"/>
      <c r="L9" s="213"/>
      <c r="M9" s="215" t="s">
        <v>73</v>
      </c>
      <c r="N9" s="213"/>
      <c r="O9" s="213"/>
    </row>
    <row r="10" spans="1:15" ht="39" customHeight="1" x14ac:dyDescent="0.2">
      <c r="A10" s="282"/>
      <c r="B10" s="224" t="s">
        <v>250</v>
      </c>
      <c r="C10" s="517" t="s">
        <v>372</v>
      </c>
      <c r="D10" s="517"/>
      <c r="E10" s="517"/>
      <c r="F10" s="517"/>
      <c r="G10" s="517"/>
      <c r="H10" s="517"/>
      <c r="I10" s="518"/>
      <c r="J10" s="183"/>
      <c r="K10" s="183"/>
      <c r="L10" s="213"/>
      <c r="M10" s="215"/>
      <c r="N10" s="213"/>
      <c r="O10" s="213"/>
    </row>
    <row r="11" spans="1:15" ht="30.75" customHeight="1" x14ac:dyDescent="0.2">
      <c r="A11" s="282"/>
      <c r="B11" s="224" t="s">
        <v>251</v>
      </c>
      <c r="C11" s="527" t="s">
        <v>291</v>
      </c>
      <c r="D11" s="527"/>
      <c r="E11" s="527"/>
      <c r="F11" s="527"/>
      <c r="G11" s="527"/>
      <c r="H11" s="527"/>
      <c r="I11" s="528"/>
      <c r="J11" s="179"/>
      <c r="K11" s="179"/>
      <c r="L11" s="213"/>
      <c r="M11" s="215"/>
      <c r="N11" s="213" t="s">
        <v>76</v>
      </c>
      <c r="O11" s="213"/>
    </row>
    <row r="12" spans="1:15" ht="30.75" customHeight="1" x14ac:dyDescent="0.2">
      <c r="A12" s="282"/>
      <c r="B12" s="224" t="s">
        <v>254</v>
      </c>
      <c r="C12" s="520" t="s">
        <v>319</v>
      </c>
      <c r="D12" s="520"/>
      <c r="E12" s="520"/>
      <c r="F12" s="520"/>
      <c r="G12" s="221" t="s">
        <v>252</v>
      </c>
      <c r="H12" s="529" t="s">
        <v>91</v>
      </c>
      <c r="I12" s="530"/>
      <c r="J12" s="179"/>
      <c r="K12" s="179"/>
      <c r="L12" s="213"/>
      <c r="M12" s="215" t="s">
        <v>80</v>
      </c>
      <c r="N12" s="213" t="s">
        <v>81</v>
      </c>
      <c r="O12" s="213"/>
    </row>
    <row r="13" spans="1:15" ht="30.75" customHeight="1" x14ac:dyDescent="0.2">
      <c r="A13" s="282"/>
      <c r="B13" s="224" t="s">
        <v>255</v>
      </c>
      <c r="C13" s="531" t="s">
        <v>346</v>
      </c>
      <c r="D13" s="531"/>
      <c r="E13" s="531"/>
      <c r="F13" s="531"/>
      <c r="G13" s="221" t="s">
        <v>253</v>
      </c>
      <c r="H13" s="529" t="s">
        <v>70</v>
      </c>
      <c r="I13" s="530"/>
      <c r="J13" s="179"/>
      <c r="K13" s="179"/>
      <c r="L13" s="213"/>
      <c r="M13" s="215" t="s">
        <v>84</v>
      </c>
      <c r="N13" s="213"/>
      <c r="O13" s="213"/>
    </row>
    <row r="14" spans="1:15" ht="64.5" customHeight="1" x14ac:dyDescent="0.2">
      <c r="A14" s="282"/>
      <c r="B14" s="224" t="s">
        <v>256</v>
      </c>
      <c r="C14" s="520" t="s">
        <v>320</v>
      </c>
      <c r="D14" s="520"/>
      <c r="E14" s="520"/>
      <c r="F14" s="520"/>
      <c r="G14" s="520"/>
      <c r="H14" s="520"/>
      <c r="I14" s="521"/>
      <c r="J14" s="183"/>
      <c r="K14" s="183"/>
      <c r="L14" s="213"/>
      <c r="M14" s="215" t="s">
        <v>86</v>
      </c>
      <c r="N14" s="213"/>
      <c r="O14" s="213"/>
    </row>
    <row r="15" spans="1:15" ht="30.75" customHeight="1" x14ac:dyDescent="0.2">
      <c r="A15" s="282"/>
      <c r="B15" s="224" t="s">
        <v>257</v>
      </c>
      <c r="C15" s="520" t="s">
        <v>315</v>
      </c>
      <c r="D15" s="520"/>
      <c r="E15" s="520"/>
      <c r="F15" s="520"/>
      <c r="G15" s="520"/>
      <c r="H15" s="520"/>
      <c r="I15" s="521"/>
      <c r="J15" s="184"/>
      <c r="K15" s="184"/>
      <c r="L15" s="213"/>
      <c r="M15" s="215" t="s">
        <v>88</v>
      </c>
      <c r="N15" s="213"/>
      <c r="O15" s="213"/>
    </row>
    <row r="16" spans="1:15" ht="20.25" customHeight="1" x14ac:dyDescent="0.2">
      <c r="A16" s="282"/>
      <c r="B16" s="224" t="s">
        <v>258</v>
      </c>
      <c r="C16" s="520" t="s">
        <v>321</v>
      </c>
      <c r="D16" s="520"/>
      <c r="E16" s="520"/>
      <c r="F16" s="520"/>
      <c r="G16" s="520"/>
      <c r="H16" s="520"/>
      <c r="I16" s="521"/>
      <c r="J16" s="185"/>
      <c r="K16" s="185"/>
      <c r="L16" s="213"/>
      <c r="M16" s="215"/>
      <c r="N16" s="213"/>
      <c r="O16" s="213"/>
    </row>
    <row r="17" spans="1:15" ht="30.75" customHeight="1" x14ac:dyDescent="0.2">
      <c r="A17" s="282"/>
      <c r="B17" s="224" t="s">
        <v>259</v>
      </c>
      <c r="C17" s="519" t="s">
        <v>314</v>
      </c>
      <c r="D17" s="538"/>
      <c r="E17" s="538"/>
      <c r="F17" s="538"/>
      <c r="G17" s="538"/>
      <c r="H17" s="538"/>
      <c r="I17" s="539"/>
      <c r="J17" s="186"/>
      <c r="K17" s="186"/>
      <c r="L17" s="213"/>
      <c r="M17" s="215" t="s">
        <v>91</v>
      </c>
      <c r="N17" s="213"/>
      <c r="O17" s="213"/>
    </row>
    <row r="18" spans="1:15" ht="18" customHeight="1" x14ac:dyDescent="0.2">
      <c r="A18" s="282"/>
      <c r="B18" s="540" t="s">
        <v>265</v>
      </c>
      <c r="C18" s="541" t="s">
        <v>237</v>
      </c>
      <c r="D18" s="541"/>
      <c r="E18" s="541"/>
      <c r="F18" s="542" t="s">
        <v>238</v>
      </c>
      <c r="G18" s="542"/>
      <c r="H18" s="542"/>
      <c r="I18" s="543"/>
      <c r="J18" s="187"/>
      <c r="K18" s="187"/>
      <c r="L18" s="213"/>
      <c r="M18" s="215" t="s">
        <v>79</v>
      </c>
      <c r="N18" s="213"/>
      <c r="O18" s="213"/>
    </row>
    <row r="19" spans="1:15" ht="39.75" customHeight="1" x14ac:dyDescent="0.2">
      <c r="A19" s="282"/>
      <c r="B19" s="540"/>
      <c r="C19" s="517" t="s">
        <v>322</v>
      </c>
      <c r="D19" s="517"/>
      <c r="E19" s="517"/>
      <c r="F19" s="517" t="s">
        <v>323</v>
      </c>
      <c r="G19" s="517"/>
      <c r="H19" s="517"/>
      <c r="I19" s="518"/>
      <c r="J19" s="185"/>
      <c r="K19" s="185"/>
      <c r="L19" s="213"/>
      <c r="M19" s="215" t="s">
        <v>95</v>
      </c>
      <c r="N19" s="213"/>
      <c r="O19" s="213"/>
    </row>
    <row r="20" spans="1:15" ht="39.75" customHeight="1" x14ac:dyDescent="0.2">
      <c r="A20" s="282"/>
      <c r="B20" s="224" t="s">
        <v>266</v>
      </c>
      <c r="C20" s="544" t="s">
        <v>314</v>
      </c>
      <c r="D20" s="545"/>
      <c r="E20" s="546"/>
      <c r="F20" s="547" t="s">
        <v>314</v>
      </c>
      <c r="G20" s="547"/>
      <c r="H20" s="547"/>
      <c r="I20" s="548"/>
      <c r="J20" s="179"/>
      <c r="K20" s="179"/>
      <c r="L20" s="213"/>
      <c r="M20" s="215"/>
      <c r="N20" s="213"/>
      <c r="O20" s="213"/>
    </row>
    <row r="21" spans="1:15" ht="106.15" customHeight="1" x14ac:dyDescent="0.2">
      <c r="A21" s="282"/>
      <c r="B21" s="224" t="s">
        <v>267</v>
      </c>
      <c r="C21" s="549" t="s">
        <v>324</v>
      </c>
      <c r="D21" s="550"/>
      <c r="E21" s="551"/>
      <c r="F21" s="552" t="s">
        <v>325</v>
      </c>
      <c r="G21" s="553"/>
      <c r="H21" s="553"/>
      <c r="I21" s="554"/>
      <c r="J21" s="184"/>
      <c r="K21" s="184"/>
      <c r="L21" s="213"/>
      <c r="M21" s="215"/>
      <c r="N21" s="213"/>
      <c r="O21" s="213"/>
    </row>
    <row r="22" spans="1:15" ht="23.25" customHeight="1" x14ac:dyDescent="0.2">
      <c r="A22" s="282"/>
      <c r="B22" s="224" t="s">
        <v>268</v>
      </c>
      <c r="C22" s="532">
        <v>44197</v>
      </c>
      <c r="D22" s="555"/>
      <c r="E22" s="556"/>
      <c r="F22" s="178" t="s">
        <v>271</v>
      </c>
      <c r="G22" s="284">
        <v>0.1</v>
      </c>
      <c r="H22" s="178" t="s">
        <v>275</v>
      </c>
      <c r="I22" s="285">
        <v>0.1</v>
      </c>
      <c r="J22" s="189"/>
      <c r="K22" s="189"/>
      <c r="L22" s="213"/>
      <c r="M22" s="215"/>
      <c r="N22" s="213"/>
      <c r="O22" s="213"/>
    </row>
    <row r="23" spans="1:15" ht="27" customHeight="1" x14ac:dyDescent="0.2">
      <c r="A23" s="282"/>
      <c r="B23" s="224" t="s">
        <v>269</v>
      </c>
      <c r="C23" s="532">
        <v>44561</v>
      </c>
      <c r="D23" s="533"/>
      <c r="E23" s="534"/>
      <c r="F23" s="178" t="s">
        <v>272</v>
      </c>
      <c r="G23" s="535">
        <v>0.4</v>
      </c>
      <c r="H23" s="536"/>
      <c r="I23" s="537"/>
      <c r="J23" s="190"/>
      <c r="K23" s="190"/>
      <c r="L23" s="213"/>
      <c r="M23" s="215"/>
      <c r="N23" s="213"/>
      <c r="O23" s="213"/>
    </row>
    <row r="24" spans="1:15" ht="30.75" customHeight="1" x14ac:dyDescent="0.2">
      <c r="A24" s="282"/>
      <c r="B24" s="231" t="s">
        <v>270</v>
      </c>
      <c r="C24" s="557" t="s">
        <v>326</v>
      </c>
      <c r="D24" s="558"/>
      <c r="E24" s="559"/>
      <c r="F24" s="227" t="s">
        <v>274</v>
      </c>
      <c r="G24" s="560" t="s">
        <v>223</v>
      </c>
      <c r="H24" s="533"/>
      <c r="I24" s="561"/>
      <c r="J24" s="187"/>
      <c r="K24" s="187"/>
      <c r="M24" s="188"/>
    </row>
    <row r="25" spans="1:15" ht="22.5" customHeight="1" x14ac:dyDescent="0.2">
      <c r="A25" s="282"/>
      <c r="B25" s="513" t="s">
        <v>235</v>
      </c>
      <c r="C25" s="514"/>
      <c r="D25" s="514"/>
      <c r="E25" s="514"/>
      <c r="F25" s="514"/>
      <c r="G25" s="514"/>
      <c r="H25" s="514"/>
      <c r="I25" s="515"/>
      <c r="J25" s="175"/>
      <c r="K25" s="175"/>
      <c r="M25" s="188"/>
    </row>
    <row r="26" spans="1:15" ht="43.5" customHeight="1" x14ac:dyDescent="0.2">
      <c r="A26" s="282"/>
      <c r="B26" s="191" t="s">
        <v>105</v>
      </c>
      <c r="C26" s="221" t="s">
        <v>261</v>
      </c>
      <c r="D26" s="221" t="s">
        <v>260</v>
      </c>
      <c r="E26" s="192" t="s">
        <v>264</v>
      </c>
      <c r="F26" s="221" t="s">
        <v>263</v>
      </c>
      <c r="G26" s="221" t="s">
        <v>262</v>
      </c>
      <c r="H26" s="192" t="s">
        <v>276</v>
      </c>
      <c r="I26" s="193" t="s">
        <v>273</v>
      </c>
      <c r="J26" s="185"/>
      <c r="K26" s="185"/>
      <c r="M26" s="188"/>
    </row>
    <row r="27" spans="1:15" ht="15.6" customHeight="1" x14ac:dyDescent="0.2">
      <c r="A27" s="282"/>
      <c r="B27" s="191" t="s">
        <v>329</v>
      </c>
      <c r="C27" s="216">
        <f>0.125*$G$23</f>
        <v>0.05</v>
      </c>
      <c r="D27" s="217">
        <v>0.05</v>
      </c>
      <c r="E27" s="291">
        <f>IF(OR(C27=0,C27=""),0,D27/C27)</f>
        <v>1</v>
      </c>
      <c r="F27" s="580">
        <f>SUM(C27:C38)</f>
        <v>0.40000000000000008</v>
      </c>
      <c r="G27" s="577">
        <f>SUM(D27:D38)</f>
        <v>0.125</v>
      </c>
      <c r="H27" s="291">
        <f>+(D27*100%)/$G$23</f>
        <v>0.125</v>
      </c>
      <c r="I27" s="574">
        <f>G27+I22</f>
        <v>0.22500000000000001</v>
      </c>
      <c r="J27" s="185"/>
      <c r="K27" s="185"/>
      <c r="M27" s="188"/>
    </row>
    <row r="28" spans="1:15" ht="15.6" customHeight="1" x14ac:dyDescent="0.2">
      <c r="A28" s="282"/>
      <c r="B28" s="191" t="s">
        <v>114</v>
      </c>
      <c r="C28" s="216">
        <f>0.3075*$G$23</f>
        <v>0.123</v>
      </c>
      <c r="D28" s="216">
        <f>0.125*G23</f>
        <v>0.05</v>
      </c>
      <c r="E28" s="291">
        <f t="shared" ref="E28:E38" si="0">IF(OR(C28=0,C28=""),0,D28/C28)</f>
        <v>0.40650406504065045</v>
      </c>
      <c r="F28" s="581"/>
      <c r="G28" s="578"/>
      <c r="H28" s="291">
        <f>+IF(D28="","",((D28*100%)/$G$23)+H27)</f>
        <v>0.25</v>
      </c>
      <c r="I28" s="575"/>
      <c r="J28" s="185"/>
      <c r="K28" s="185"/>
      <c r="M28" s="188"/>
    </row>
    <row r="29" spans="1:15" ht="15.6" customHeight="1" x14ac:dyDescent="0.2">
      <c r="A29" s="282"/>
      <c r="B29" s="191" t="s">
        <v>115</v>
      </c>
      <c r="C29" s="216">
        <f>0.185*$G$23</f>
        <v>7.3999999999999996E-2</v>
      </c>
      <c r="D29" s="216">
        <f>+C29*33.7837837837838%</f>
        <v>2.5000000000000005E-2</v>
      </c>
      <c r="E29" s="291">
        <f t="shared" si="0"/>
        <v>0.33783783783783794</v>
      </c>
      <c r="F29" s="581"/>
      <c r="G29" s="578"/>
      <c r="H29" s="291">
        <f t="shared" ref="H29:H38" si="1">+IF(D29="","",((D29*100%)/$G$23)+H28)</f>
        <v>0.3125</v>
      </c>
      <c r="I29" s="575"/>
      <c r="J29" s="185"/>
      <c r="K29" s="185"/>
      <c r="M29" s="188"/>
    </row>
    <row r="30" spans="1:15" ht="15.6" customHeight="1" x14ac:dyDescent="0.2">
      <c r="A30" s="282"/>
      <c r="B30" s="191" t="s">
        <v>116</v>
      </c>
      <c r="C30" s="216">
        <f>0.1325*$G$23</f>
        <v>5.3000000000000005E-2</v>
      </c>
      <c r="D30" s="216"/>
      <c r="E30" s="291">
        <f t="shared" si="0"/>
        <v>0</v>
      </c>
      <c r="F30" s="581"/>
      <c r="G30" s="578"/>
      <c r="H30" s="291" t="str">
        <f t="shared" si="1"/>
        <v/>
      </c>
      <c r="I30" s="575"/>
      <c r="J30" s="185"/>
      <c r="K30" s="185"/>
      <c r="M30" s="188"/>
    </row>
    <row r="31" spans="1:15" ht="15.6" customHeight="1" x14ac:dyDescent="0.2">
      <c r="A31" s="282"/>
      <c r="B31" s="191" t="s">
        <v>117</v>
      </c>
      <c r="C31" s="216">
        <f t="shared" ref="C31:C38" si="2">0.03125*$G$23</f>
        <v>1.2500000000000001E-2</v>
      </c>
      <c r="D31" s="216"/>
      <c r="E31" s="291">
        <f t="shared" si="0"/>
        <v>0</v>
      </c>
      <c r="F31" s="581"/>
      <c r="G31" s="578"/>
      <c r="H31" s="291" t="str">
        <f t="shared" si="1"/>
        <v/>
      </c>
      <c r="I31" s="575"/>
      <c r="J31" s="185"/>
      <c r="K31" s="185"/>
      <c r="M31" s="188"/>
    </row>
    <row r="32" spans="1:15" ht="15.6" customHeight="1" x14ac:dyDescent="0.2">
      <c r="A32" s="282"/>
      <c r="B32" s="191" t="s">
        <v>118</v>
      </c>
      <c r="C32" s="216">
        <f t="shared" si="2"/>
        <v>1.2500000000000001E-2</v>
      </c>
      <c r="D32" s="216"/>
      <c r="E32" s="291">
        <f t="shared" si="0"/>
        <v>0</v>
      </c>
      <c r="F32" s="581"/>
      <c r="G32" s="578"/>
      <c r="H32" s="291" t="str">
        <f t="shared" si="1"/>
        <v/>
      </c>
      <c r="I32" s="575"/>
      <c r="J32" s="185"/>
      <c r="K32" s="185"/>
      <c r="M32" s="188"/>
    </row>
    <row r="33" spans="1:11" ht="19.5" customHeight="1" x14ac:dyDescent="0.2">
      <c r="A33" s="282"/>
      <c r="B33" s="191" t="s">
        <v>119</v>
      </c>
      <c r="C33" s="216">
        <f t="shared" si="2"/>
        <v>1.2500000000000001E-2</v>
      </c>
      <c r="D33" s="216"/>
      <c r="E33" s="291">
        <f t="shared" si="0"/>
        <v>0</v>
      </c>
      <c r="F33" s="581"/>
      <c r="G33" s="578"/>
      <c r="H33" s="291" t="str">
        <f t="shared" si="1"/>
        <v/>
      </c>
      <c r="I33" s="575"/>
      <c r="J33" s="195"/>
      <c r="K33" s="195"/>
    </row>
    <row r="34" spans="1:11" ht="19.5" customHeight="1" x14ac:dyDescent="0.2">
      <c r="A34" s="282"/>
      <c r="B34" s="191" t="s">
        <v>120</v>
      </c>
      <c r="C34" s="216">
        <f t="shared" si="2"/>
        <v>1.2500000000000001E-2</v>
      </c>
      <c r="D34" s="216"/>
      <c r="E34" s="291">
        <f t="shared" si="0"/>
        <v>0</v>
      </c>
      <c r="F34" s="581"/>
      <c r="G34" s="578"/>
      <c r="H34" s="291" t="str">
        <f t="shared" si="1"/>
        <v/>
      </c>
      <c r="I34" s="575"/>
      <c r="J34" s="195"/>
      <c r="K34" s="195"/>
    </row>
    <row r="35" spans="1:11" ht="19.5" customHeight="1" x14ac:dyDescent="0.2">
      <c r="A35" s="282"/>
      <c r="B35" s="191" t="s">
        <v>121</v>
      </c>
      <c r="C35" s="216">
        <f t="shared" si="2"/>
        <v>1.2500000000000001E-2</v>
      </c>
      <c r="D35" s="216"/>
      <c r="E35" s="291">
        <f t="shared" si="0"/>
        <v>0</v>
      </c>
      <c r="F35" s="581"/>
      <c r="G35" s="578"/>
      <c r="H35" s="291" t="str">
        <f t="shared" si="1"/>
        <v/>
      </c>
      <c r="I35" s="575"/>
      <c r="J35" s="195"/>
      <c r="K35" s="195"/>
    </row>
    <row r="36" spans="1:11" ht="19.5" customHeight="1" x14ac:dyDescent="0.2">
      <c r="A36" s="282"/>
      <c r="B36" s="191" t="s">
        <v>122</v>
      </c>
      <c r="C36" s="216">
        <f t="shared" si="2"/>
        <v>1.2500000000000001E-2</v>
      </c>
      <c r="D36" s="216"/>
      <c r="E36" s="291">
        <f t="shared" si="0"/>
        <v>0</v>
      </c>
      <c r="F36" s="581"/>
      <c r="G36" s="578"/>
      <c r="H36" s="291" t="str">
        <f t="shared" si="1"/>
        <v/>
      </c>
      <c r="I36" s="575"/>
      <c r="J36" s="195"/>
      <c r="K36" s="195"/>
    </row>
    <row r="37" spans="1:11" ht="19.5" customHeight="1" x14ac:dyDescent="0.2">
      <c r="A37" s="282"/>
      <c r="B37" s="191" t="s">
        <v>123</v>
      </c>
      <c r="C37" s="216">
        <f t="shared" si="2"/>
        <v>1.2500000000000001E-2</v>
      </c>
      <c r="D37" s="216"/>
      <c r="E37" s="291">
        <f t="shared" si="0"/>
        <v>0</v>
      </c>
      <c r="F37" s="581"/>
      <c r="G37" s="578"/>
      <c r="H37" s="291" t="str">
        <f t="shared" si="1"/>
        <v/>
      </c>
      <c r="I37" s="575"/>
      <c r="J37" s="195"/>
      <c r="K37" s="195"/>
    </row>
    <row r="38" spans="1:11" ht="19.5" customHeight="1" x14ac:dyDescent="0.2">
      <c r="A38" s="282"/>
      <c r="B38" s="191" t="s">
        <v>124</v>
      </c>
      <c r="C38" s="216">
        <f t="shared" si="2"/>
        <v>1.2500000000000001E-2</v>
      </c>
      <c r="D38" s="216"/>
      <c r="E38" s="291">
        <f t="shared" si="0"/>
        <v>0</v>
      </c>
      <c r="F38" s="582"/>
      <c r="G38" s="579"/>
      <c r="H38" s="291" t="str">
        <f t="shared" si="1"/>
        <v/>
      </c>
      <c r="I38" s="576"/>
      <c r="J38" s="195"/>
      <c r="K38" s="195"/>
    </row>
    <row r="39" spans="1:11" ht="52.5" customHeight="1" x14ac:dyDescent="0.2">
      <c r="A39" s="282"/>
      <c r="B39" s="229" t="s">
        <v>277</v>
      </c>
      <c r="C39" s="562"/>
      <c r="D39" s="563"/>
      <c r="E39" s="563"/>
      <c r="F39" s="563"/>
      <c r="G39" s="563"/>
      <c r="H39" s="563"/>
      <c r="I39" s="564"/>
      <c r="J39" s="196"/>
      <c r="K39" s="196"/>
    </row>
    <row r="40" spans="1:11" ht="34.5" customHeight="1" x14ac:dyDescent="0.2">
      <c r="A40" s="282"/>
      <c r="B40" s="565"/>
      <c r="C40" s="566"/>
      <c r="D40" s="566"/>
      <c r="E40" s="566"/>
      <c r="F40" s="566"/>
      <c r="G40" s="566"/>
      <c r="H40" s="566"/>
      <c r="I40" s="567"/>
      <c r="J40" s="175"/>
      <c r="K40" s="175"/>
    </row>
    <row r="41" spans="1:11" ht="34.5" customHeight="1" x14ac:dyDescent="0.2">
      <c r="A41" s="282"/>
      <c r="B41" s="568"/>
      <c r="C41" s="569"/>
      <c r="D41" s="569"/>
      <c r="E41" s="569"/>
      <c r="F41" s="569"/>
      <c r="G41" s="569"/>
      <c r="H41" s="569"/>
      <c r="I41" s="570"/>
      <c r="J41" s="196"/>
      <c r="K41" s="196"/>
    </row>
    <row r="42" spans="1:11" ht="34.5" customHeight="1" x14ac:dyDescent="0.2">
      <c r="A42" s="282"/>
      <c r="B42" s="568"/>
      <c r="C42" s="569"/>
      <c r="D42" s="569"/>
      <c r="E42" s="569"/>
      <c r="F42" s="569"/>
      <c r="G42" s="569"/>
      <c r="H42" s="569"/>
      <c r="I42" s="570"/>
      <c r="J42" s="196"/>
      <c r="K42" s="196"/>
    </row>
    <row r="43" spans="1:11" ht="34.5" customHeight="1" x14ac:dyDescent="0.2">
      <c r="A43" s="282"/>
      <c r="B43" s="568"/>
      <c r="C43" s="569"/>
      <c r="D43" s="569"/>
      <c r="E43" s="569"/>
      <c r="F43" s="569"/>
      <c r="G43" s="569"/>
      <c r="H43" s="569"/>
      <c r="I43" s="570"/>
      <c r="J43" s="196"/>
      <c r="K43" s="196"/>
    </row>
    <row r="44" spans="1:11" ht="34.5" customHeight="1" x14ac:dyDescent="0.2">
      <c r="A44" s="282"/>
      <c r="B44" s="571"/>
      <c r="C44" s="572"/>
      <c r="D44" s="572"/>
      <c r="E44" s="572"/>
      <c r="F44" s="572"/>
      <c r="G44" s="572"/>
      <c r="H44" s="572"/>
      <c r="I44" s="573"/>
      <c r="J44" s="174"/>
      <c r="K44" s="174"/>
    </row>
    <row r="45" spans="1:11" ht="127.15" customHeight="1" x14ac:dyDescent="0.2">
      <c r="A45" s="282"/>
      <c r="B45" s="224" t="s">
        <v>278</v>
      </c>
      <c r="C45" s="591" t="s">
        <v>382</v>
      </c>
      <c r="D45" s="592"/>
      <c r="E45" s="592"/>
      <c r="F45" s="592"/>
      <c r="G45" s="592"/>
      <c r="H45" s="592"/>
      <c r="I45" s="593"/>
      <c r="J45" s="197"/>
      <c r="K45" s="197"/>
    </row>
    <row r="46" spans="1:11" ht="64.900000000000006" customHeight="1" x14ac:dyDescent="0.2">
      <c r="A46" s="282"/>
      <c r="B46" s="224" t="s">
        <v>279</v>
      </c>
      <c r="C46" s="591" t="s">
        <v>383</v>
      </c>
      <c r="D46" s="592"/>
      <c r="E46" s="592"/>
      <c r="F46" s="592"/>
      <c r="G46" s="592"/>
      <c r="H46" s="592"/>
      <c r="I46" s="593"/>
      <c r="J46" s="197"/>
      <c r="K46" s="197"/>
    </row>
    <row r="47" spans="1:11" ht="66" customHeight="1" x14ac:dyDescent="0.2">
      <c r="A47" s="282"/>
      <c r="B47" s="230" t="s">
        <v>280</v>
      </c>
      <c r="C47" s="594" t="s">
        <v>335</v>
      </c>
      <c r="D47" s="595"/>
      <c r="E47" s="595"/>
      <c r="F47" s="595"/>
      <c r="G47" s="595"/>
      <c r="H47" s="595"/>
      <c r="I47" s="596"/>
      <c r="J47" s="197"/>
      <c r="K47" s="197"/>
    </row>
    <row r="48" spans="1:11" ht="22.5" customHeight="1" x14ac:dyDescent="0.2">
      <c r="A48" s="282"/>
      <c r="B48" s="513" t="s">
        <v>236</v>
      </c>
      <c r="C48" s="514"/>
      <c r="D48" s="514"/>
      <c r="E48" s="514"/>
      <c r="F48" s="514"/>
      <c r="G48" s="514"/>
      <c r="H48" s="514"/>
      <c r="I48" s="515"/>
      <c r="J48" s="197"/>
      <c r="K48" s="197"/>
    </row>
    <row r="49" spans="1:11" ht="22.5" customHeight="1" x14ac:dyDescent="0.2">
      <c r="A49" s="282"/>
      <c r="B49" s="587" t="s">
        <v>281</v>
      </c>
      <c r="C49" s="218" t="s">
        <v>282</v>
      </c>
      <c r="D49" s="589" t="s">
        <v>283</v>
      </c>
      <c r="E49" s="589"/>
      <c r="F49" s="589"/>
      <c r="G49" s="589" t="s">
        <v>284</v>
      </c>
      <c r="H49" s="589"/>
      <c r="I49" s="590"/>
      <c r="J49" s="198"/>
      <c r="K49" s="198"/>
    </row>
    <row r="50" spans="1:11" ht="30.75" customHeight="1" x14ac:dyDescent="0.2">
      <c r="A50" s="282"/>
      <c r="B50" s="588"/>
      <c r="C50" s="286"/>
      <c r="D50" s="583"/>
      <c r="E50" s="583"/>
      <c r="F50" s="583"/>
      <c r="G50" s="583"/>
      <c r="H50" s="583"/>
      <c r="I50" s="584"/>
      <c r="J50" s="198"/>
      <c r="K50" s="198"/>
    </row>
    <row r="51" spans="1:11" ht="32.25" customHeight="1" x14ac:dyDescent="0.2">
      <c r="A51" s="282"/>
      <c r="B51" s="233" t="s">
        <v>285</v>
      </c>
      <c r="C51" s="583" t="s">
        <v>336</v>
      </c>
      <c r="D51" s="583"/>
      <c r="E51" s="583"/>
      <c r="F51" s="583"/>
      <c r="G51" s="583"/>
      <c r="H51" s="583"/>
      <c r="I51" s="584"/>
      <c r="J51" s="200"/>
      <c r="K51" s="200"/>
    </row>
    <row r="52" spans="1:11" ht="28.5" customHeight="1" x14ac:dyDescent="0.2">
      <c r="A52" s="282"/>
      <c r="B52" s="234" t="s">
        <v>286</v>
      </c>
      <c r="C52" s="583" t="s">
        <v>336</v>
      </c>
      <c r="D52" s="583"/>
      <c r="E52" s="583"/>
      <c r="F52" s="583"/>
      <c r="G52" s="583"/>
      <c r="H52" s="583"/>
      <c r="I52" s="584"/>
      <c r="J52" s="200"/>
      <c r="K52" s="200"/>
    </row>
    <row r="53" spans="1:11" ht="30" customHeight="1" x14ac:dyDescent="0.2">
      <c r="A53" s="282"/>
      <c r="B53" s="230" t="s">
        <v>287</v>
      </c>
      <c r="C53" s="583" t="s">
        <v>330</v>
      </c>
      <c r="D53" s="583"/>
      <c r="E53" s="583"/>
      <c r="F53" s="583"/>
      <c r="G53" s="583"/>
      <c r="H53" s="583"/>
      <c r="I53" s="584"/>
      <c r="J53" s="201"/>
      <c r="K53" s="201"/>
    </row>
    <row r="54" spans="1:11" ht="31.5" customHeight="1" thickBot="1" x14ac:dyDescent="0.25">
      <c r="A54" s="287"/>
      <c r="B54" s="211" t="s">
        <v>288</v>
      </c>
      <c r="C54" s="585" t="s">
        <v>331</v>
      </c>
      <c r="D54" s="585"/>
      <c r="E54" s="585"/>
      <c r="F54" s="585"/>
      <c r="G54" s="585"/>
      <c r="H54" s="585"/>
      <c r="I54" s="586"/>
      <c r="J54" s="202"/>
      <c r="K54" s="202"/>
    </row>
    <row r="55" spans="1:11" x14ac:dyDescent="0.2">
      <c r="B55" s="203"/>
      <c r="C55" s="204"/>
      <c r="D55" s="204"/>
      <c r="E55" s="205"/>
      <c r="F55" s="205"/>
      <c r="G55" s="212"/>
      <c r="H55" s="207"/>
      <c r="I55" s="204"/>
      <c r="J55" s="202"/>
      <c r="K55" s="202"/>
    </row>
    <row r="56" spans="1:11" x14ac:dyDescent="0.2">
      <c r="B56" s="203"/>
      <c r="C56" s="204"/>
      <c r="D56" s="204"/>
      <c r="E56" s="205"/>
      <c r="F56" s="205"/>
      <c r="G56" s="212"/>
      <c r="H56" s="207"/>
      <c r="I56" s="204"/>
      <c r="J56" s="202"/>
      <c r="K56" s="202"/>
    </row>
    <row r="57" spans="1:11" x14ac:dyDescent="0.2">
      <c r="B57" s="203"/>
      <c r="C57" s="204"/>
      <c r="D57" s="204"/>
      <c r="E57" s="205"/>
      <c r="F57" s="205"/>
      <c r="G57" s="212"/>
      <c r="H57" s="207"/>
      <c r="I57" s="204"/>
      <c r="J57" s="202"/>
      <c r="K57" s="202"/>
    </row>
    <row r="58" spans="1:11" x14ac:dyDescent="0.2">
      <c r="B58" s="203"/>
      <c r="C58" s="204"/>
      <c r="D58" s="204"/>
      <c r="E58" s="205"/>
      <c r="F58" s="205"/>
      <c r="G58" s="212"/>
      <c r="H58" s="207"/>
      <c r="I58" s="204"/>
      <c r="J58" s="202"/>
      <c r="K58" s="202"/>
    </row>
    <row r="59" spans="1:11" x14ac:dyDescent="0.2">
      <c r="B59" s="203"/>
      <c r="C59" s="204"/>
      <c r="D59" s="204"/>
      <c r="E59" s="205"/>
      <c r="F59" s="205"/>
      <c r="G59" s="212"/>
      <c r="H59" s="207"/>
      <c r="I59" s="204"/>
      <c r="J59" s="202"/>
      <c r="K59" s="202"/>
    </row>
    <row r="60" spans="1:11" ht="25.5" customHeight="1" x14ac:dyDescent="0.2">
      <c r="B60" s="203"/>
      <c r="C60" s="204"/>
      <c r="D60" s="204"/>
      <c r="E60" s="205"/>
      <c r="F60" s="205"/>
      <c r="G60" s="212"/>
      <c r="H60" s="207"/>
      <c r="I60" s="204"/>
      <c r="J60" s="202"/>
      <c r="K60" s="202"/>
    </row>
  </sheetData>
  <sheetProtection algorithmName="SHA-512" hashValue="/mNNxkaB6zOT1/OHTLlTTDrDavQMrEXPbScPDScLf68duMBYSPCEqcTqgxup6sY2Je1TVGf9CqbZlEhsxVzdJw==" saltValue="n8NoQJFtFmkuhNYs+/93lg==" spinCount="100000" sheet="1" objects="1" scenarios="1"/>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ED8530C7-01D7-464F-9F5F-ACF2F40B37DC}">
      <formula1>$N$11:$N$12</formula1>
    </dataValidation>
    <dataValidation type="list" allowBlank="1" showInputMessage="1" showErrorMessage="1" sqref="H13:I13" xr:uid="{50695522-8E85-49C3-8E03-D606C7C139B1}">
      <formula1>$N$5:$N$8</formula1>
    </dataValidation>
    <dataValidation type="list" allowBlank="1" showInputMessage="1" showErrorMessage="1" sqref="C9:F9" xr:uid="{D1ACDEEC-D7E0-42AF-A5C4-D291CD695E5E}">
      <formula1>$M$6:$M$9</formula1>
    </dataValidation>
    <dataValidation type="list" allowBlank="1" showInputMessage="1" showErrorMessage="1" sqref="C24:E24" xr:uid="{3EF54F9E-1F27-40DC-97F3-1A0F1107DD87}">
      <formula1>$M$12:$M$15</formula1>
    </dataValidation>
    <dataValidation type="list" allowBlank="1" showInputMessage="1" showErrorMessage="1" sqref="H12:I12" xr:uid="{FA3C4315-9976-4FD7-B40F-49C5AA608042}">
      <formula1>M17:M19</formula1>
    </dataValidation>
    <dataValidation type="list" showDropDown="1" showInputMessage="1" showErrorMessage="1" sqref="K12" xr:uid="{26352333-EB16-4AD4-8569-CCD9AD12F570}">
      <formula1>O17:O19</formula1>
    </dataValidation>
    <dataValidation type="list" allowBlank="1" showInputMessage="1" showErrorMessage="1" sqref="J10:K10" xr:uid="{2DBE7C77-D2DA-49D3-AD54-CE7DF4DC9397}">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7A21-5AD9-444C-A61C-D5796615C41B}">
  <sheetPr>
    <tabColor rgb="FF92D050"/>
  </sheetPr>
  <dimension ref="B1:X60"/>
  <sheetViews>
    <sheetView topLeftCell="A25" zoomScale="90" zoomScaleNormal="90" zoomScalePageLayoutView="85" workbookViewId="0">
      <selection activeCell="D29" sqref="D29"/>
    </sheetView>
  </sheetViews>
  <sheetFormatPr baseColWidth="10" defaultColWidth="10.85546875" defaultRowHeight="12.75" x14ac:dyDescent="0.2"/>
  <cols>
    <col min="1" max="1" width="1" style="173" customWidth="1"/>
    <col min="2" max="2" width="25.42578125" style="208" customWidth="1"/>
    <col min="3" max="5" width="25.7109375" style="173" customWidth="1"/>
    <col min="6" max="6" width="25" style="173" customWidth="1"/>
    <col min="7" max="7" width="22" style="208" customWidth="1"/>
    <col min="8" max="8" width="20.42578125" style="173" customWidth="1"/>
    <col min="9" max="9" width="25.28515625" style="173" customWidth="1"/>
    <col min="10" max="11" width="22.42578125" style="173" customWidth="1"/>
    <col min="12" max="24" width="10.85546875" style="171"/>
    <col min="25" max="16384" width="10.85546875" style="173"/>
  </cols>
  <sheetData>
    <row r="1" spans="2:14" ht="37.5" customHeight="1" x14ac:dyDescent="0.2">
      <c r="B1" s="501"/>
      <c r="C1" s="597" t="s">
        <v>25</v>
      </c>
      <c r="D1" s="597"/>
      <c r="E1" s="597"/>
      <c r="F1" s="597"/>
      <c r="G1" s="597"/>
      <c r="H1" s="597"/>
      <c r="I1" s="505"/>
      <c r="J1" s="170"/>
      <c r="K1" s="170"/>
      <c r="M1" s="172" t="s">
        <v>47</v>
      </c>
    </row>
    <row r="2" spans="2:14" ht="37.5" customHeight="1" x14ac:dyDescent="0.2">
      <c r="B2" s="502"/>
      <c r="C2" s="508" t="s">
        <v>239</v>
      </c>
      <c r="D2" s="508"/>
      <c r="E2" s="508"/>
      <c r="F2" s="508"/>
      <c r="G2" s="508"/>
      <c r="H2" s="508"/>
      <c r="I2" s="506"/>
      <c r="J2" s="170"/>
      <c r="K2" s="170"/>
      <c r="M2" s="172" t="s">
        <v>48</v>
      </c>
    </row>
    <row r="3" spans="2:14" ht="37.5" customHeight="1" thickBot="1" x14ac:dyDescent="0.25">
      <c r="B3" s="503"/>
      <c r="C3" s="509" t="s">
        <v>240</v>
      </c>
      <c r="D3" s="509"/>
      <c r="E3" s="509"/>
      <c r="F3" s="509" t="s">
        <v>241</v>
      </c>
      <c r="G3" s="509"/>
      <c r="H3" s="509"/>
      <c r="I3" s="507"/>
      <c r="J3" s="170"/>
      <c r="K3" s="170"/>
      <c r="M3" s="172" t="s">
        <v>50</v>
      </c>
    </row>
    <row r="4" spans="2:14" ht="23.25" customHeight="1" x14ac:dyDescent="0.2">
      <c r="B4" s="510"/>
      <c r="C4" s="511"/>
      <c r="D4" s="511"/>
      <c r="E4" s="511"/>
      <c r="F4" s="511"/>
      <c r="G4" s="511"/>
      <c r="H4" s="511"/>
      <c r="I4" s="512"/>
      <c r="J4" s="174"/>
      <c r="K4" s="174"/>
    </row>
    <row r="5" spans="2:14" ht="24" customHeight="1" x14ac:dyDescent="0.2">
      <c r="B5" s="513" t="s">
        <v>234</v>
      </c>
      <c r="C5" s="514"/>
      <c r="D5" s="514"/>
      <c r="E5" s="514"/>
      <c r="F5" s="514"/>
      <c r="G5" s="514"/>
      <c r="H5" s="514"/>
      <c r="I5" s="515"/>
      <c r="J5" s="175"/>
      <c r="K5" s="175"/>
      <c r="N5" s="176" t="s">
        <v>57</v>
      </c>
    </row>
    <row r="6" spans="2:14" ht="30.75" customHeight="1" x14ac:dyDescent="0.2">
      <c r="B6" s="224" t="s">
        <v>242</v>
      </c>
      <c r="C6" s="222">
        <v>2</v>
      </c>
      <c r="D6" s="516" t="s">
        <v>243</v>
      </c>
      <c r="E6" s="516"/>
      <c r="F6" s="517" t="str">
        <f>'[7]Proyecto 7550'!$N$13</f>
        <v>Fortalecer los canales de comunicación</v>
      </c>
      <c r="G6" s="517"/>
      <c r="H6" s="517"/>
      <c r="I6" s="518"/>
      <c r="J6" s="177"/>
      <c r="K6" s="177"/>
      <c r="M6" s="172" t="s">
        <v>60</v>
      </c>
      <c r="N6" s="176" t="s">
        <v>61</v>
      </c>
    </row>
    <row r="7" spans="2:14" ht="30.75" customHeight="1" x14ac:dyDescent="0.2">
      <c r="B7" s="224" t="s">
        <v>244</v>
      </c>
      <c r="C7" s="222" t="s">
        <v>81</v>
      </c>
      <c r="D7" s="516" t="s">
        <v>245</v>
      </c>
      <c r="E7" s="516"/>
      <c r="F7" s="519" t="s">
        <v>292</v>
      </c>
      <c r="G7" s="519"/>
      <c r="H7" s="178" t="s">
        <v>246</v>
      </c>
      <c r="I7" s="223" t="s">
        <v>81</v>
      </c>
      <c r="J7" s="179"/>
      <c r="K7" s="179"/>
      <c r="M7" s="172" t="s">
        <v>65</v>
      </c>
      <c r="N7" s="176" t="s">
        <v>66</v>
      </c>
    </row>
    <row r="8" spans="2:14" ht="30.75" customHeight="1" x14ac:dyDescent="0.2">
      <c r="B8" s="224" t="s">
        <v>247</v>
      </c>
      <c r="C8" s="517" t="s">
        <v>289</v>
      </c>
      <c r="D8" s="517"/>
      <c r="E8" s="517"/>
      <c r="F8" s="517"/>
      <c r="G8" s="178" t="s">
        <v>248</v>
      </c>
      <c r="H8" s="522">
        <v>7550</v>
      </c>
      <c r="I8" s="523"/>
      <c r="J8" s="180"/>
      <c r="K8" s="180"/>
      <c r="M8" s="172" t="s">
        <v>69</v>
      </c>
      <c r="N8" s="176" t="s">
        <v>70</v>
      </c>
    </row>
    <row r="9" spans="2:14" ht="30.75" customHeight="1" x14ac:dyDescent="0.2">
      <c r="B9" s="224" t="s">
        <v>48</v>
      </c>
      <c r="C9" s="524" t="s">
        <v>60</v>
      </c>
      <c r="D9" s="524"/>
      <c r="E9" s="524"/>
      <c r="F9" s="524"/>
      <c r="G9" s="178" t="s">
        <v>249</v>
      </c>
      <c r="H9" s="525" t="s">
        <v>290</v>
      </c>
      <c r="I9" s="526"/>
      <c r="J9" s="181"/>
      <c r="K9" s="181"/>
      <c r="M9" s="182" t="s">
        <v>73</v>
      </c>
    </row>
    <row r="10" spans="2:14" ht="98.25" customHeight="1" x14ac:dyDescent="0.2">
      <c r="B10" s="224" t="s">
        <v>250</v>
      </c>
      <c r="C10" s="517" t="s">
        <v>377</v>
      </c>
      <c r="D10" s="517"/>
      <c r="E10" s="517"/>
      <c r="F10" s="517"/>
      <c r="G10" s="517"/>
      <c r="H10" s="517"/>
      <c r="I10" s="518"/>
      <c r="J10" s="183"/>
      <c r="K10" s="183"/>
      <c r="M10" s="182"/>
    </row>
    <row r="11" spans="2:14" ht="30.75" customHeight="1" x14ac:dyDescent="0.2">
      <c r="B11" s="224" t="s">
        <v>251</v>
      </c>
      <c r="C11" s="527" t="s">
        <v>291</v>
      </c>
      <c r="D11" s="527"/>
      <c r="E11" s="527"/>
      <c r="F11" s="527"/>
      <c r="G11" s="527"/>
      <c r="H11" s="527"/>
      <c r="I11" s="528"/>
      <c r="J11" s="179"/>
      <c r="K11" s="179"/>
      <c r="M11" s="182"/>
      <c r="N11" s="176" t="s">
        <v>76</v>
      </c>
    </row>
    <row r="12" spans="2:14" ht="30.75" customHeight="1" x14ac:dyDescent="0.2">
      <c r="B12" s="224" t="s">
        <v>254</v>
      </c>
      <c r="C12" s="520" t="s">
        <v>305</v>
      </c>
      <c r="D12" s="520"/>
      <c r="E12" s="520"/>
      <c r="F12" s="520"/>
      <c r="G12" s="178" t="s">
        <v>252</v>
      </c>
      <c r="H12" s="529" t="s">
        <v>91</v>
      </c>
      <c r="I12" s="530"/>
      <c r="J12" s="179"/>
      <c r="K12" s="179"/>
      <c r="M12" s="182" t="s">
        <v>80</v>
      </c>
      <c r="N12" s="176" t="s">
        <v>81</v>
      </c>
    </row>
    <row r="13" spans="2:14" ht="30.75" customHeight="1" x14ac:dyDescent="0.2">
      <c r="B13" s="224" t="s">
        <v>255</v>
      </c>
      <c r="C13" s="531" t="s">
        <v>346</v>
      </c>
      <c r="D13" s="531"/>
      <c r="E13" s="531"/>
      <c r="F13" s="531"/>
      <c r="G13" s="221" t="s">
        <v>253</v>
      </c>
      <c r="H13" s="529" t="s">
        <v>61</v>
      </c>
      <c r="I13" s="530"/>
      <c r="J13" s="179"/>
      <c r="K13" s="179"/>
      <c r="M13" s="182" t="s">
        <v>84</v>
      </c>
    </row>
    <row r="14" spans="2:14" ht="64.5" customHeight="1" x14ac:dyDescent="0.2">
      <c r="B14" s="224" t="s">
        <v>256</v>
      </c>
      <c r="C14" s="520" t="s">
        <v>338</v>
      </c>
      <c r="D14" s="520"/>
      <c r="E14" s="520"/>
      <c r="F14" s="520"/>
      <c r="G14" s="520"/>
      <c r="H14" s="520"/>
      <c r="I14" s="521"/>
      <c r="J14" s="183"/>
      <c r="K14" s="183"/>
      <c r="M14" s="182" t="s">
        <v>86</v>
      </c>
      <c r="N14" s="176"/>
    </row>
    <row r="15" spans="2:14" ht="30.75" customHeight="1" x14ac:dyDescent="0.2">
      <c r="B15" s="224" t="s">
        <v>257</v>
      </c>
      <c r="C15" s="520" t="s">
        <v>293</v>
      </c>
      <c r="D15" s="520"/>
      <c r="E15" s="520"/>
      <c r="F15" s="520"/>
      <c r="G15" s="520"/>
      <c r="H15" s="520"/>
      <c r="I15" s="521"/>
      <c r="J15" s="184"/>
      <c r="K15" s="184"/>
      <c r="M15" s="182" t="s">
        <v>88</v>
      </c>
      <c r="N15" s="176"/>
    </row>
    <row r="16" spans="2:14" ht="35.450000000000003" customHeight="1" x14ac:dyDescent="0.2">
      <c r="B16" s="224" t="s">
        <v>258</v>
      </c>
      <c r="C16" s="527" t="s">
        <v>339</v>
      </c>
      <c r="D16" s="527"/>
      <c r="E16" s="527"/>
      <c r="F16" s="527"/>
      <c r="G16" s="527"/>
      <c r="H16" s="527"/>
      <c r="I16" s="528"/>
      <c r="J16" s="185"/>
      <c r="K16" s="185"/>
      <c r="M16" s="182"/>
      <c r="N16" s="176"/>
    </row>
    <row r="17" spans="2:14" ht="30.75" customHeight="1" x14ac:dyDescent="0.2">
      <c r="B17" s="224" t="s">
        <v>259</v>
      </c>
      <c r="C17" s="519" t="s">
        <v>152</v>
      </c>
      <c r="D17" s="538"/>
      <c r="E17" s="538"/>
      <c r="F17" s="538"/>
      <c r="G17" s="538"/>
      <c r="H17" s="538"/>
      <c r="I17" s="539"/>
      <c r="J17" s="186"/>
      <c r="K17" s="186"/>
      <c r="M17" s="182" t="s">
        <v>91</v>
      </c>
      <c r="N17" s="176"/>
    </row>
    <row r="18" spans="2:14" ht="18" customHeight="1" x14ac:dyDescent="0.2">
      <c r="B18" s="540" t="s">
        <v>265</v>
      </c>
      <c r="C18" s="541" t="s">
        <v>237</v>
      </c>
      <c r="D18" s="541"/>
      <c r="E18" s="541"/>
      <c r="F18" s="542" t="s">
        <v>238</v>
      </c>
      <c r="G18" s="542"/>
      <c r="H18" s="542"/>
      <c r="I18" s="543"/>
      <c r="J18" s="187"/>
      <c r="K18" s="187"/>
      <c r="M18" s="182" t="s">
        <v>79</v>
      </c>
      <c r="N18" s="176"/>
    </row>
    <row r="19" spans="2:14" ht="39.75" customHeight="1" x14ac:dyDescent="0.2">
      <c r="B19" s="540"/>
      <c r="C19" s="517" t="s">
        <v>303</v>
      </c>
      <c r="D19" s="517"/>
      <c r="E19" s="517"/>
      <c r="F19" s="517" t="s">
        <v>304</v>
      </c>
      <c r="G19" s="517"/>
      <c r="H19" s="517"/>
      <c r="I19" s="518"/>
      <c r="J19" s="185"/>
      <c r="K19" s="185"/>
      <c r="M19" s="182" t="s">
        <v>95</v>
      </c>
      <c r="N19" s="176"/>
    </row>
    <row r="20" spans="2:14" ht="39.75" customHeight="1" x14ac:dyDescent="0.2">
      <c r="B20" s="224" t="s">
        <v>266</v>
      </c>
      <c r="C20" s="544" t="s">
        <v>152</v>
      </c>
      <c r="D20" s="545"/>
      <c r="E20" s="546"/>
      <c r="F20" s="547" t="s">
        <v>152</v>
      </c>
      <c r="G20" s="547"/>
      <c r="H20" s="547"/>
      <c r="I20" s="548"/>
      <c r="J20" s="179"/>
      <c r="K20" s="179"/>
      <c r="M20" s="182"/>
      <c r="N20" s="176"/>
    </row>
    <row r="21" spans="2:14" ht="86.45" customHeight="1" x14ac:dyDescent="0.2">
      <c r="B21" s="224" t="s">
        <v>267</v>
      </c>
      <c r="C21" s="604" t="s">
        <v>306</v>
      </c>
      <c r="D21" s="605"/>
      <c r="E21" s="606"/>
      <c r="F21" s="607" t="s">
        <v>307</v>
      </c>
      <c r="G21" s="599"/>
      <c r="H21" s="599"/>
      <c r="I21" s="608"/>
      <c r="J21" s="184"/>
      <c r="K21" s="184"/>
      <c r="M21" s="188"/>
      <c r="N21" s="176"/>
    </row>
    <row r="22" spans="2:14" ht="23.25" customHeight="1" x14ac:dyDescent="0.2">
      <c r="B22" s="224" t="s">
        <v>268</v>
      </c>
      <c r="C22" s="598">
        <v>44197</v>
      </c>
      <c r="D22" s="609"/>
      <c r="E22" s="610"/>
      <c r="F22" s="178" t="s">
        <v>271</v>
      </c>
      <c r="G22" s="265">
        <v>8.5000000000000006E-2</v>
      </c>
      <c r="H22" s="178" t="s">
        <v>275</v>
      </c>
      <c r="I22" s="266">
        <v>8.5000000000000006E-2</v>
      </c>
      <c r="J22" s="189"/>
      <c r="K22" s="189"/>
      <c r="M22" s="188"/>
    </row>
    <row r="23" spans="2:14" ht="27" customHeight="1" x14ac:dyDescent="0.2">
      <c r="B23" s="224" t="s">
        <v>269</v>
      </c>
      <c r="C23" s="598">
        <v>44561</v>
      </c>
      <c r="D23" s="599"/>
      <c r="E23" s="600"/>
      <c r="F23" s="178" t="s">
        <v>272</v>
      </c>
      <c r="G23" s="601">
        <v>0.3</v>
      </c>
      <c r="H23" s="602"/>
      <c r="I23" s="603"/>
      <c r="J23" s="190"/>
      <c r="K23" s="190"/>
      <c r="M23" s="188"/>
    </row>
    <row r="24" spans="2:14" ht="30.75" customHeight="1" x14ac:dyDescent="0.2">
      <c r="B24" s="231" t="s">
        <v>270</v>
      </c>
      <c r="C24" s="611" t="s">
        <v>326</v>
      </c>
      <c r="D24" s="612"/>
      <c r="E24" s="613"/>
      <c r="F24" s="227" t="s">
        <v>274</v>
      </c>
      <c r="G24" s="560" t="s">
        <v>223</v>
      </c>
      <c r="H24" s="533"/>
      <c r="I24" s="561"/>
      <c r="J24" s="187"/>
      <c r="K24" s="187"/>
      <c r="M24" s="188"/>
    </row>
    <row r="25" spans="2:14" ht="22.5" customHeight="1" x14ac:dyDescent="0.2">
      <c r="B25" s="513" t="s">
        <v>235</v>
      </c>
      <c r="C25" s="514"/>
      <c r="D25" s="514"/>
      <c r="E25" s="514"/>
      <c r="F25" s="514"/>
      <c r="G25" s="514"/>
      <c r="H25" s="514"/>
      <c r="I25" s="515"/>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77">
        <f>0.083333*$G$23</f>
        <v>2.4999900000000002E-2</v>
      </c>
      <c r="D27" s="277">
        <v>2.4999900000000002E-2</v>
      </c>
      <c r="E27" s="263">
        <f>IF(OR(C27=0,C27=""),0,D27/C27)</f>
        <v>1</v>
      </c>
      <c r="F27" s="580">
        <f>SUM(C27:C38)</f>
        <v>0.29999880000000001</v>
      </c>
      <c r="G27" s="580">
        <f>SUM(D27:D38)</f>
        <v>7.4999700000000002E-2</v>
      </c>
      <c r="H27" s="264">
        <f>+(D27*100%)/$G$23</f>
        <v>8.3333000000000004E-2</v>
      </c>
      <c r="I27" s="614">
        <f>G27+I22</f>
        <v>0.15999970000000002</v>
      </c>
      <c r="J27" s="185"/>
      <c r="K27" s="185"/>
      <c r="M27" s="188"/>
    </row>
    <row r="28" spans="2:14" ht="15.6" customHeight="1" x14ac:dyDescent="0.2">
      <c r="B28" s="191" t="s">
        <v>114</v>
      </c>
      <c r="C28" s="277">
        <f t="shared" ref="C28:D38" si="0">0.083333*$G$23</f>
        <v>2.4999900000000002E-2</v>
      </c>
      <c r="D28" s="277">
        <f t="shared" si="0"/>
        <v>2.4999900000000002E-2</v>
      </c>
      <c r="E28" s="263">
        <f t="shared" ref="E28:E38" si="1">IF(OR(C28=0,C28=""),0,D28/C28)</f>
        <v>1</v>
      </c>
      <c r="F28" s="581"/>
      <c r="G28" s="581"/>
      <c r="H28" s="264">
        <f>+IF(D28="","",((D28*100%)/$G$23)+H27)</f>
        <v>0.16666600000000001</v>
      </c>
      <c r="I28" s="615"/>
      <c r="J28" s="185"/>
      <c r="K28" s="185"/>
      <c r="M28" s="188"/>
    </row>
    <row r="29" spans="2:14" ht="15.6" customHeight="1" x14ac:dyDescent="0.2">
      <c r="B29" s="191" t="s">
        <v>115</v>
      </c>
      <c r="C29" s="277">
        <f t="shared" si="0"/>
        <v>2.4999900000000002E-2</v>
      </c>
      <c r="D29" s="277">
        <f t="shared" si="0"/>
        <v>2.4999900000000002E-2</v>
      </c>
      <c r="E29" s="263">
        <f t="shared" si="1"/>
        <v>1</v>
      </c>
      <c r="F29" s="581"/>
      <c r="G29" s="581"/>
      <c r="H29" s="264">
        <f t="shared" ref="H29:H38" si="2">+IF(D29="","",((D29*100%)/$G$23)+H28)</f>
        <v>0.24999900000000003</v>
      </c>
      <c r="I29" s="615"/>
      <c r="J29" s="185"/>
      <c r="K29" s="185"/>
      <c r="M29" s="188"/>
    </row>
    <row r="30" spans="2:14" ht="15.6" customHeight="1" x14ac:dyDescent="0.2">
      <c r="B30" s="191" t="s">
        <v>116</v>
      </c>
      <c r="C30" s="277">
        <f t="shared" si="0"/>
        <v>2.4999900000000002E-2</v>
      </c>
      <c r="D30" s="278"/>
      <c r="E30" s="263">
        <f t="shared" si="1"/>
        <v>0</v>
      </c>
      <c r="F30" s="581"/>
      <c r="G30" s="581"/>
      <c r="H30" s="264" t="str">
        <f t="shared" si="2"/>
        <v/>
      </c>
      <c r="I30" s="615"/>
      <c r="J30" s="185"/>
      <c r="K30" s="185"/>
      <c r="M30" s="188"/>
    </row>
    <row r="31" spans="2:14" ht="15.6" customHeight="1" x14ac:dyDescent="0.2">
      <c r="B31" s="191" t="s">
        <v>117</v>
      </c>
      <c r="C31" s="277">
        <f t="shared" si="0"/>
        <v>2.4999900000000002E-2</v>
      </c>
      <c r="D31" s="278"/>
      <c r="E31" s="263">
        <f t="shared" si="1"/>
        <v>0</v>
      </c>
      <c r="F31" s="581"/>
      <c r="G31" s="581"/>
      <c r="H31" s="264" t="str">
        <f t="shared" si="2"/>
        <v/>
      </c>
      <c r="I31" s="615"/>
      <c r="J31" s="185"/>
      <c r="K31" s="185"/>
      <c r="M31" s="188"/>
    </row>
    <row r="32" spans="2:14" ht="15.6" customHeight="1" x14ac:dyDescent="0.2">
      <c r="B32" s="191" t="s">
        <v>118</v>
      </c>
      <c r="C32" s="277">
        <f t="shared" si="0"/>
        <v>2.4999900000000002E-2</v>
      </c>
      <c r="D32" s="278"/>
      <c r="E32" s="263">
        <f t="shared" si="1"/>
        <v>0</v>
      </c>
      <c r="F32" s="581"/>
      <c r="G32" s="581"/>
      <c r="H32" s="264" t="str">
        <f t="shared" si="2"/>
        <v/>
      </c>
      <c r="I32" s="615"/>
      <c r="J32" s="185"/>
      <c r="K32" s="185"/>
      <c r="M32" s="188"/>
    </row>
    <row r="33" spans="2:11" ht="19.5" customHeight="1" x14ac:dyDescent="0.2">
      <c r="B33" s="191" t="s">
        <v>119</v>
      </c>
      <c r="C33" s="277">
        <f t="shared" si="0"/>
        <v>2.4999900000000002E-2</v>
      </c>
      <c r="D33" s="278"/>
      <c r="E33" s="263">
        <f t="shared" si="1"/>
        <v>0</v>
      </c>
      <c r="F33" s="581"/>
      <c r="G33" s="581"/>
      <c r="H33" s="264" t="str">
        <f t="shared" si="2"/>
        <v/>
      </c>
      <c r="I33" s="615"/>
      <c r="J33" s="195"/>
      <c r="K33" s="195"/>
    </row>
    <row r="34" spans="2:11" ht="19.5" customHeight="1" x14ac:dyDescent="0.2">
      <c r="B34" s="191" t="s">
        <v>120</v>
      </c>
      <c r="C34" s="277">
        <f t="shared" si="0"/>
        <v>2.4999900000000002E-2</v>
      </c>
      <c r="D34" s="279"/>
      <c r="E34" s="263">
        <f t="shared" si="1"/>
        <v>0</v>
      </c>
      <c r="F34" s="581"/>
      <c r="G34" s="581"/>
      <c r="H34" s="264" t="str">
        <f t="shared" si="2"/>
        <v/>
      </c>
      <c r="I34" s="615"/>
      <c r="J34" s="195"/>
      <c r="K34" s="195"/>
    </row>
    <row r="35" spans="2:11" ht="19.5" customHeight="1" x14ac:dyDescent="0.2">
      <c r="B35" s="191" t="s">
        <v>121</v>
      </c>
      <c r="C35" s="277">
        <f t="shared" si="0"/>
        <v>2.4999900000000002E-2</v>
      </c>
      <c r="D35" s="280"/>
      <c r="E35" s="263">
        <f t="shared" si="1"/>
        <v>0</v>
      </c>
      <c r="F35" s="581"/>
      <c r="G35" s="581"/>
      <c r="H35" s="264" t="str">
        <f t="shared" si="2"/>
        <v/>
      </c>
      <c r="I35" s="615"/>
      <c r="J35" s="195"/>
      <c r="K35" s="195"/>
    </row>
    <row r="36" spans="2:11" ht="19.5" customHeight="1" x14ac:dyDescent="0.2">
      <c r="B36" s="191" t="s">
        <v>122</v>
      </c>
      <c r="C36" s="277">
        <f t="shared" si="0"/>
        <v>2.4999900000000002E-2</v>
      </c>
      <c r="D36" s="280"/>
      <c r="E36" s="263">
        <f t="shared" si="1"/>
        <v>0</v>
      </c>
      <c r="F36" s="581"/>
      <c r="G36" s="581"/>
      <c r="H36" s="264" t="str">
        <f t="shared" si="2"/>
        <v/>
      </c>
      <c r="I36" s="615"/>
      <c r="J36" s="195"/>
      <c r="K36" s="195"/>
    </row>
    <row r="37" spans="2:11" ht="19.5" customHeight="1" x14ac:dyDescent="0.2">
      <c r="B37" s="191" t="s">
        <v>123</v>
      </c>
      <c r="C37" s="277">
        <f t="shared" si="0"/>
        <v>2.4999900000000002E-2</v>
      </c>
      <c r="D37" s="279"/>
      <c r="E37" s="263">
        <f t="shared" si="1"/>
        <v>0</v>
      </c>
      <c r="F37" s="581"/>
      <c r="G37" s="581"/>
      <c r="H37" s="264" t="str">
        <f t="shared" si="2"/>
        <v/>
      </c>
      <c r="I37" s="615"/>
      <c r="J37" s="195"/>
      <c r="K37" s="195"/>
    </row>
    <row r="38" spans="2:11" ht="19.5" customHeight="1" x14ac:dyDescent="0.2">
      <c r="B38" s="191" t="s">
        <v>124</v>
      </c>
      <c r="C38" s="277">
        <f t="shared" si="0"/>
        <v>2.4999900000000002E-2</v>
      </c>
      <c r="D38" s="279"/>
      <c r="E38" s="263">
        <f t="shared" si="1"/>
        <v>0</v>
      </c>
      <c r="F38" s="582"/>
      <c r="G38" s="582"/>
      <c r="H38" s="264" t="str">
        <f t="shared" si="2"/>
        <v/>
      </c>
      <c r="I38" s="616"/>
      <c r="J38" s="195"/>
      <c r="K38" s="195"/>
    </row>
    <row r="39" spans="2:11" ht="52.5" customHeight="1" x14ac:dyDescent="0.2">
      <c r="B39" s="229" t="s">
        <v>277</v>
      </c>
      <c r="C39" s="562"/>
      <c r="D39" s="563"/>
      <c r="E39" s="563"/>
      <c r="F39" s="563"/>
      <c r="G39" s="563"/>
      <c r="H39" s="563"/>
      <c r="I39" s="564"/>
      <c r="J39" s="196"/>
      <c r="K39" s="196"/>
    </row>
    <row r="40" spans="2:11" ht="34.5" customHeight="1" x14ac:dyDescent="0.2">
      <c r="B40" s="565"/>
      <c r="C40" s="566"/>
      <c r="D40" s="566"/>
      <c r="E40" s="566"/>
      <c r="F40" s="566"/>
      <c r="G40" s="566"/>
      <c r="H40" s="566"/>
      <c r="I40" s="567"/>
      <c r="J40" s="175"/>
      <c r="K40" s="175"/>
    </row>
    <row r="41" spans="2:11" ht="34.5" customHeight="1" x14ac:dyDescent="0.2">
      <c r="B41" s="568"/>
      <c r="C41" s="569"/>
      <c r="D41" s="569"/>
      <c r="E41" s="569"/>
      <c r="F41" s="569"/>
      <c r="G41" s="569"/>
      <c r="H41" s="569"/>
      <c r="I41" s="570"/>
      <c r="J41" s="196"/>
      <c r="K41" s="196"/>
    </row>
    <row r="42" spans="2:11" ht="34.5" customHeight="1" x14ac:dyDescent="0.2">
      <c r="B42" s="568"/>
      <c r="C42" s="569"/>
      <c r="D42" s="569"/>
      <c r="E42" s="569"/>
      <c r="F42" s="569"/>
      <c r="G42" s="569"/>
      <c r="H42" s="569"/>
      <c r="I42" s="570"/>
      <c r="J42" s="196"/>
      <c r="K42" s="196"/>
    </row>
    <row r="43" spans="2:11" ht="34.5" customHeight="1" x14ac:dyDescent="0.2">
      <c r="B43" s="568"/>
      <c r="C43" s="569"/>
      <c r="D43" s="569"/>
      <c r="E43" s="569"/>
      <c r="F43" s="569"/>
      <c r="G43" s="569"/>
      <c r="H43" s="569"/>
      <c r="I43" s="570"/>
      <c r="J43" s="196"/>
      <c r="K43" s="196"/>
    </row>
    <row r="44" spans="2:11" ht="34.5" customHeight="1" x14ac:dyDescent="0.2">
      <c r="B44" s="571"/>
      <c r="C44" s="572"/>
      <c r="D44" s="572"/>
      <c r="E44" s="572"/>
      <c r="F44" s="572"/>
      <c r="G44" s="572"/>
      <c r="H44" s="572"/>
      <c r="I44" s="573"/>
      <c r="J44" s="174"/>
      <c r="K44" s="174"/>
    </row>
    <row r="45" spans="2:11" ht="232.9" customHeight="1" x14ac:dyDescent="0.2">
      <c r="B45" s="224" t="s">
        <v>278</v>
      </c>
      <c r="C45" s="617" t="s">
        <v>395</v>
      </c>
      <c r="D45" s="618"/>
      <c r="E45" s="618"/>
      <c r="F45" s="618"/>
      <c r="G45" s="618"/>
      <c r="H45" s="618"/>
      <c r="I45" s="619"/>
      <c r="J45" s="197"/>
      <c r="K45" s="197"/>
    </row>
    <row r="46" spans="2:11" ht="107.25" customHeight="1" x14ac:dyDescent="0.2">
      <c r="B46" s="224" t="s">
        <v>279</v>
      </c>
      <c r="C46" s="617" t="s">
        <v>392</v>
      </c>
      <c r="D46" s="618"/>
      <c r="E46" s="618"/>
      <c r="F46" s="618"/>
      <c r="G46" s="618"/>
      <c r="H46" s="618"/>
      <c r="I46" s="619"/>
      <c r="J46" s="197"/>
      <c r="K46" s="197"/>
    </row>
    <row r="47" spans="2:11" ht="138" customHeight="1" x14ac:dyDescent="0.2">
      <c r="B47" s="230" t="s">
        <v>280</v>
      </c>
      <c r="C47" s="620" t="s">
        <v>394</v>
      </c>
      <c r="D47" s="621"/>
      <c r="E47" s="621"/>
      <c r="F47" s="621"/>
      <c r="G47" s="621"/>
      <c r="H47" s="621"/>
      <c r="I47" s="622"/>
      <c r="J47" s="197"/>
      <c r="K47" s="197"/>
    </row>
    <row r="48" spans="2:11" ht="22.5" customHeight="1" x14ac:dyDescent="0.2">
      <c r="B48" s="513" t="s">
        <v>236</v>
      </c>
      <c r="C48" s="514"/>
      <c r="D48" s="514"/>
      <c r="E48" s="514"/>
      <c r="F48" s="514"/>
      <c r="G48" s="514"/>
      <c r="H48" s="514"/>
      <c r="I48" s="515"/>
      <c r="J48" s="197"/>
      <c r="K48" s="197"/>
    </row>
    <row r="49" spans="2:11" ht="22.5" customHeight="1" x14ac:dyDescent="0.2">
      <c r="B49" s="587" t="s">
        <v>281</v>
      </c>
      <c r="C49" s="218" t="s">
        <v>282</v>
      </c>
      <c r="D49" s="589" t="s">
        <v>283</v>
      </c>
      <c r="E49" s="589"/>
      <c r="F49" s="589"/>
      <c r="G49" s="589" t="s">
        <v>284</v>
      </c>
      <c r="H49" s="589"/>
      <c r="I49" s="590"/>
      <c r="J49" s="198"/>
      <c r="K49" s="198"/>
    </row>
    <row r="50" spans="2:11" ht="30.75" customHeight="1" x14ac:dyDescent="0.2">
      <c r="B50" s="588"/>
      <c r="C50" s="232"/>
      <c r="D50" s="623"/>
      <c r="E50" s="623"/>
      <c r="F50" s="623"/>
      <c r="G50" s="623"/>
      <c r="H50" s="623"/>
      <c r="I50" s="624"/>
      <c r="J50" s="198"/>
      <c r="K50" s="198"/>
    </row>
    <row r="51" spans="2:11" ht="32.25" customHeight="1" x14ac:dyDescent="0.2">
      <c r="B51" s="233" t="s">
        <v>285</v>
      </c>
      <c r="C51" s="623" t="s">
        <v>337</v>
      </c>
      <c r="D51" s="623"/>
      <c r="E51" s="623"/>
      <c r="F51" s="623"/>
      <c r="G51" s="623"/>
      <c r="H51" s="623"/>
      <c r="I51" s="624"/>
      <c r="J51" s="200"/>
      <c r="K51" s="200"/>
    </row>
    <row r="52" spans="2:11" ht="28.5" customHeight="1" x14ac:dyDescent="0.2">
      <c r="B52" s="234" t="s">
        <v>286</v>
      </c>
      <c r="C52" s="623" t="s">
        <v>393</v>
      </c>
      <c r="D52" s="623"/>
      <c r="E52" s="623"/>
      <c r="F52" s="623"/>
      <c r="G52" s="623"/>
      <c r="H52" s="623"/>
      <c r="I52" s="624"/>
      <c r="J52" s="200"/>
      <c r="K52" s="200"/>
    </row>
    <row r="53" spans="2:11" ht="30" customHeight="1" x14ac:dyDescent="0.2">
      <c r="B53" s="230" t="s">
        <v>287</v>
      </c>
      <c r="C53" s="623" t="s">
        <v>330</v>
      </c>
      <c r="D53" s="623"/>
      <c r="E53" s="623"/>
      <c r="F53" s="623"/>
      <c r="G53" s="623"/>
      <c r="H53" s="623"/>
      <c r="I53" s="624"/>
      <c r="J53" s="201"/>
      <c r="K53" s="201"/>
    </row>
    <row r="54" spans="2:11" ht="31.5" customHeight="1" thickBot="1" x14ac:dyDescent="0.25">
      <c r="B54" s="211" t="s">
        <v>288</v>
      </c>
      <c r="C54" s="625" t="s">
        <v>331</v>
      </c>
      <c r="D54" s="626"/>
      <c r="E54" s="626"/>
      <c r="F54" s="626"/>
      <c r="G54" s="626"/>
      <c r="H54" s="626"/>
      <c r="I54" s="627"/>
      <c r="J54" s="202"/>
      <c r="K54" s="202"/>
    </row>
    <row r="55" spans="2:11" x14ac:dyDescent="0.2">
      <c r="B55" s="203"/>
      <c r="C55" s="204"/>
      <c r="D55" s="204"/>
      <c r="E55" s="205"/>
      <c r="F55" s="205"/>
      <c r="G55" s="212"/>
      <c r="H55" s="207"/>
      <c r="I55" s="204"/>
      <c r="J55" s="202"/>
      <c r="K55" s="202"/>
    </row>
    <row r="56" spans="2:11" x14ac:dyDescent="0.2">
      <c r="B56" s="203"/>
      <c r="C56" s="204"/>
      <c r="D56" s="204"/>
      <c r="E56" s="205"/>
      <c r="F56" s="205"/>
      <c r="G56" s="212"/>
      <c r="H56" s="207"/>
      <c r="I56" s="204"/>
      <c r="J56" s="202"/>
      <c r="K56" s="202"/>
    </row>
    <row r="57" spans="2:11" x14ac:dyDescent="0.2">
      <c r="B57" s="203"/>
      <c r="C57" s="204"/>
      <c r="D57" s="204"/>
      <c r="E57" s="205"/>
      <c r="F57" s="205"/>
      <c r="G57" s="212"/>
      <c r="H57" s="207"/>
      <c r="I57" s="204"/>
      <c r="J57" s="202"/>
      <c r="K57" s="202"/>
    </row>
    <row r="58" spans="2:11" x14ac:dyDescent="0.2">
      <c r="B58" s="203"/>
      <c r="C58" s="204"/>
      <c r="D58" s="204"/>
      <c r="E58" s="205"/>
      <c r="F58" s="205"/>
      <c r="G58" s="212"/>
      <c r="H58" s="207"/>
      <c r="I58" s="204"/>
      <c r="J58" s="202"/>
      <c r="K58" s="202"/>
    </row>
    <row r="59" spans="2:1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sheetData>
  <sheetProtection algorithmName="SHA-512" hashValue="QKOCyL7Ey41OsP/e2MRnVY/2/zi5FmosRZ1LYYHQfN7VamfoulUTs4rMsYQYVyzZs14grRmDfIsrE29NL4F3uw==" saltValue="LboGoa0K8dj1Lc39A13e3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D3ABEFBA-A58C-4C54-B08B-2C2325D508D0}">
      <formula1>$M$21:$M$26</formula1>
    </dataValidation>
    <dataValidation type="list" showDropDown="1" showInputMessage="1" showErrorMessage="1" sqref="K12" xr:uid="{127E099F-A528-42E4-85A1-FC0C8012E7C6}">
      <formula1>O17:O19</formula1>
    </dataValidation>
    <dataValidation type="list" allowBlank="1" showInputMessage="1" showErrorMessage="1" sqref="H12:I12" xr:uid="{A41474BE-849F-4639-88E1-5104E7DC9D2E}">
      <formula1>M17:M19</formula1>
    </dataValidation>
    <dataValidation type="list" allowBlank="1" showInputMessage="1" showErrorMessage="1" sqref="C24:E24" xr:uid="{5CD9A0B5-0F25-4414-BC78-4BCF836E8893}">
      <formula1>$M$12:$M$15</formula1>
    </dataValidation>
    <dataValidation type="list" allowBlank="1" showInputMessage="1" showErrorMessage="1" sqref="C9:F9" xr:uid="{6D57A956-0902-4477-9A77-2AE244DAE902}">
      <formula1>$M$6:$M$9</formula1>
    </dataValidation>
    <dataValidation type="list" allowBlank="1" showInputMessage="1" showErrorMessage="1" sqref="H13:I13" xr:uid="{6C3B547F-D682-4EF8-B720-05D70192EF43}">
      <formula1>$N$5:$N$8</formula1>
    </dataValidation>
    <dataValidation type="list" allowBlank="1" showInputMessage="1" showErrorMessage="1" sqref="C7 I7" xr:uid="{76AC1F24-5BF1-4EEA-8F60-8675482116C1}">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F4BF-8813-4720-AF97-E34578D7474A}">
  <sheetPr>
    <tabColor rgb="FF92D050"/>
  </sheetPr>
  <dimension ref="B1:X60"/>
  <sheetViews>
    <sheetView topLeftCell="A22" zoomScale="85" zoomScaleNormal="85" workbookViewId="0">
      <selection activeCell="D29" sqref="D29"/>
    </sheetView>
  </sheetViews>
  <sheetFormatPr baseColWidth="10" defaultColWidth="11.42578125" defaultRowHeight="12.75" x14ac:dyDescent="0.2"/>
  <cols>
    <col min="1" max="1" width="1" style="173" customWidth="1"/>
    <col min="2" max="2" width="25.42578125" style="208" customWidth="1"/>
    <col min="3" max="3" width="14.5703125" style="173" customWidth="1"/>
    <col min="4" max="4" width="20.140625" style="173" customWidth="1"/>
    <col min="5" max="5" width="16.42578125" style="173" customWidth="1"/>
    <col min="6" max="6" width="25" style="173" customWidth="1"/>
    <col min="7" max="7" width="22" style="209" customWidth="1"/>
    <col min="8" max="8" width="20.5703125" style="173" customWidth="1"/>
    <col min="9" max="11" width="22.42578125" style="173" customWidth="1"/>
    <col min="12" max="24" width="11.42578125" style="171"/>
    <col min="25" max="16384" width="11.42578125" style="173"/>
  </cols>
  <sheetData>
    <row r="1" spans="2:14" ht="37.5" customHeight="1" x14ac:dyDescent="0.2">
      <c r="B1" s="501"/>
      <c r="C1" s="504" t="s">
        <v>25</v>
      </c>
      <c r="D1" s="504"/>
      <c r="E1" s="504"/>
      <c r="F1" s="504"/>
      <c r="G1" s="504"/>
      <c r="H1" s="504"/>
      <c r="I1" s="505"/>
      <c r="J1" s="170"/>
      <c r="K1" s="170"/>
      <c r="M1" s="172" t="s">
        <v>47</v>
      </c>
    </row>
    <row r="2" spans="2:14" ht="37.5" customHeight="1" x14ac:dyDescent="0.2">
      <c r="B2" s="502"/>
      <c r="C2" s="628" t="s">
        <v>239</v>
      </c>
      <c r="D2" s="628"/>
      <c r="E2" s="628"/>
      <c r="F2" s="628"/>
      <c r="G2" s="628"/>
      <c r="H2" s="628"/>
      <c r="I2" s="506"/>
      <c r="J2" s="170"/>
      <c r="K2" s="170"/>
      <c r="M2" s="172" t="s">
        <v>48</v>
      </c>
    </row>
    <row r="3" spans="2:14" ht="37.5" customHeight="1" x14ac:dyDescent="0.2">
      <c r="B3" s="502"/>
      <c r="C3" s="628" t="s">
        <v>240</v>
      </c>
      <c r="D3" s="628"/>
      <c r="E3" s="628"/>
      <c r="F3" s="628" t="s">
        <v>241</v>
      </c>
      <c r="G3" s="628"/>
      <c r="H3" s="628"/>
      <c r="I3" s="506"/>
      <c r="J3" s="170"/>
      <c r="K3" s="170"/>
      <c r="M3" s="172" t="s">
        <v>50</v>
      </c>
    </row>
    <row r="4" spans="2:14" ht="23.25" customHeight="1" x14ac:dyDescent="0.2">
      <c r="B4" s="629"/>
      <c r="C4" s="630"/>
      <c r="D4" s="630"/>
      <c r="E4" s="630"/>
      <c r="F4" s="630"/>
      <c r="G4" s="630"/>
      <c r="H4" s="630"/>
      <c r="I4" s="631"/>
      <c r="J4" s="174"/>
      <c r="K4" s="174"/>
    </row>
    <row r="5" spans="2:14" ht="24" customHeight="1" x14ac:dyDescent="0.2">
      <c r="B5" s="513" t="s">
        <v>234</v>
      </c>
      <c r="C5" s="514"/>
      <c r="D5" s="514"/>
      <c r="E5" s="514"/>
      <c r="F5" s="514"/>
      <c r="G5" s="514"/>
      <c r="H5" s="514"/>
      <c r="I5" s="515"/>
      <c r="J5" s="175"/>
      <c r="K5" s="175"/>
      <c r="N5" s="176" t="s">
        <v>57</v>
      </c>
    </row>
    <row r="6" spans="2:14" ht="30.75" customHeight="1" x14ac:dyDescent="0.2">
      <c r="B6" s="224" t="s">
        <v>242</v>
      </c>
      <c r="C6" s="219">
        <v>3</v>
      </c>
      <c r="D6" s="516" t="s">
        <v>243</v>
      </c>
      <c r="E6" s="516"/>
      <c r="F6" s="517" t="s">
        <v>347</v>
      </c>
      <c r="G6" s="517"/>
      <c r="H6" s="517"/>
      <c r="I6" s="518"/>
      <c r="J6" s="177"/>
      <c r="K6" s="177"/>
      <c r="M6" s="172" t="s">
        <v>60</v>
      </c>
      <c r="N6" s="176" t="s">
        <v>61</v>
      </c>
    </row>
    <row r="7" spans="2:14" ht="30.75" customHeight="1" x14ac:dyDescent="0.2">
      <c r="B7" s="224" t="s">
        <v>244</v>
      </c>
      <c r="C7" s="219" t="s">
        <v>81</v>
      </c>
      <c r="D7" s="516" t="s">
        <v>245</v>
      </c>
      <c r="E7" s="516"/>
      <c r="F7" s="517" t="s">
        <v>348</v>
      </c>
      <c r="G7" s="517"/>
      <c r="H7" s="178" t="s">
        <v>246</v>
      </c>
      <c r="I7" s="220" t="s">
        <v>81</v>
      </c>
      <c r="J7" s="179"/>
      <c r="K7" s="179"/>
      <c r="M7" s="172" t="s">
        <v>65</v>
      </c>
      <c r="N7" s="176" t="s">
        <v>66</v>
      </c>
    </row>
    <row r="8" spans="2:14" ht="30.75" customHeight="1" x14ac:dyDescent="0.2">
      <c r="B8" s="224" t="s">
        <v>247</v>
      </c>
      <c r="C8" s="517" t="s">
        <v>289</v>
      </c>
      <c r="D8" s="517"/>
      <c r="E8" s="517"/>
      <c r="F8" s="517"/>
      <c r="G8" s="178" t="s">
        <v>248</v>
      </c>
      <c r="H8" s="522">
        <v>7550</v>
      </c>
      <c r="I8" s="523"/>
      <c r="J8" s="180"/>
      <c r="K8" s="180"/>
      <c r="M8" s="172" t="s">
        <v>69</v>
      </c>
      <c r="N8" s="176" t="s">
        <v>70</v>
      </c>
    </row>
    <row r="9" spans="2:14" ht="30.75" customHeight="1" x14ac:dyDescent="0.2">
      <c r="B9" s="224" t="s">
        <v>48</v>
      </c>
      <c r="C9" s="632" t="s">
        <v>69</v>
      </c>
      <c r="D9" s="632"/>
      <c r="E9" s="632"/>
      <c r="F9" s="632"/>
      <c r="G9" s="178" t="s">
        <v>249</v>
      </c>
      <c r="H9" s="525" t="s">
        <v>349</v>
      </c>
      <c r="I9" s="526"/>
      <c r="J9" s="181"/>
      <c r="K9" s="181"/>
      <c r="M9" s="182" t="s">
        <v>73</v>
      </c>
    </row>
    <row r="10" spans="2:14" ht="60.75" customHeight="1" x14ac:dyDescent="0.2">
      <c r="B10" s="224" t="s">
        <v>250</v>
      </c>
      <c r="C10" s="517" t="s">
        <v>376</v>
      </c>
      <c r="D10" s="517"/>
      <c r="E10" s="517"/>
      <c r="F10" s="517"/>
      <c r="G10" s="517"/>
      <c r="H10" s="517"/>
      <c r="I10" s="518"/>
      <c r="J10" s="183"/>
      <c r="K10" s="183"/>
      <c r="M10" s="182"/>
    </row>
    <row r="11" spans="2:14" ht="30.75" customHeight="1" x14ac:dyDescent="0.2">
      <c r="B11" s="224" t="s">
        <v>251</v>
      </c>
      <c r="C11" s="517" t="s">
        <v>291</v>
      </c>
      <c r="D11" s="517"/>
      <c r="E11" s="517"/>
      <c r="F11" s="517"/>
      <c r="G11" s="517"/>
      <c r="H11" s="517"/>
      <c r="I11" s="518"/>
      <c r="J11" s="179"/>
      <c r="K11" s="179"/>
      <c r="M11" s="182"/>
      <c r="N11" s="176" t="s">
        <v>76</v>
      </c>
    </row>
    <row r="12" spans="2:14" ht="30.75" customHeight="1" x14ac:dyDescent="0.2">
      <c r="B12" s="224" t="s">
        <v>254</v>
      </c>
      <c r="C12" s="520" t="s">
        <v>350</v>
      </c>
      <c r="D12" s="520"/>
      <c r="E12" s="520"/>
      <c r="F12" s="520"/>
      <c r="G12" s="178" t="s">
        <v>252</v>
      </c>
      <c r="H12" s="520" t="s">
        <v>91</v>
      </c>
      <c r="I12" s="521"/>
      <c r="J12" s="179"/>
      <c r="K12" s="179"/>
      <c r="M12" s="182" t="s">
        <v>80</v>
      </c>
      <c r="N12" s="176" t="s">
        <v>81</v>
      </c>
    </row>
    <row r="13" spans="2:14" ht="30.75" customHeight="1" x14ac:dyDescent="0.2">
      <c r="B13" s="224" t="s">
        <v>255</v>
      </c>
      <c r="C13" s="633" t="s">
        <v>351</v>
      </c>
      <c r="D13" s="633"/>
      <c r="E13" s="633"/>
      <c r="F13" s="633"/>
      <c r="G13" s="178" t="s">
        <v>253</v>
      </c>
      <c r="H13" s="517" t="s">
        <v>70</v>
      </c>
      <c r="I13" s="518"/>
      <c r="J13" s="179"/>
      <c r="K13" s="179"/>
      <c r="M13" s="182" t="s">
        <v>84</v>
      </c>
    </row>
    <row r="14" spans="2:14" ht="64.5" customHeight="1" x14ac:dyDescent="0.2">
      <c r="B14" s="224" t="s">
        <v>256</v>
      </c>
      <c r="C14" s="634" t="s">
        <v>352</v>
      </c>
      <c r="D14" s="634"/>
      <c r="E14" s="634"/>
      <c r="F14" s="634"/>
      <c r="G14" s="634"/>
      <c r="H14" s="634"/>
      <c r="I14" s="635"/>
      <c r="J14" s="183"/>
      <c r="K14" s="183"/>
      <c r="M14" s="182" t="s">
        <v>86</v>
      </c>
      <c r="N14" s="176"/>
    </row>
    <row r="15" spans="2:14" ht="30.75" customHeight="1" x14ac:dyDescent="0.2">
      <c r="B15" s="224" t="s">
        <v>257</v>
      </c>
      <c r="C15" s="520" t="s">
        <v>353</v>
      </c>
      <c r="D15" s="520"/>
      <c r="E15" s="520"/>
      <c r="F15" s="520"/>
      <c r="G15" s="520"/>
      <c r="H15" s="520"/>
      <c r="I15" s="521"/>
      <c r="J15" s="184"/>
      <c r="K15" s="184"/>
      <c r="M15" s="182" t="s">
        <v>88</v>
      </c>
      <c r="N15" s="176"/>
    </row>
    <row r="16" spans="2:14" ht="20.25" customHeight="1" x14ac:dyDescent="0.2">
      <c r="B16" s="224" t="s">
        <v>258</v>
      </c>
      <c r="C16" s="517" t="s">
        <v>354</v>
      </c>
      <c r="D16" s="517"/>
      <c r="E16" s="517"/>
      <c r="F16" s="517"/>
      <c r="G16" s="517"/>
      <c r="H16" s="517"/>
      <c r="I16" s="518"/>
      <c r="J16" s="185"/>
      <c r="K16" s="185"/>
      <c r="M16" s="182"/>
      <c r="N16" s="176"/>
    </row>
    <row r="17" spans="2:14" ht="30.75" customHeight="1" x14ac:dyDescent="0.2">
      <c r="B17" s="224" t="s">
        <v>259</v>
      </c>
      <c r="C17" s="517" t="s">
        <v>152</v>
      </c>
      <c r="D17" s="641"/>
      <c r="E17" s="641"/>
      <c r="F17" s="641"/>
      <c r="G17" s="641"/>
      <c r="H17" s="641"/>
      <c r="I17" s="642"/>
      <c r="J17" s="186"/>
      <c r="K17" s="186"/>
      <c r="M17" s="182" t="s">
        <v>91</v>
      </c>
      <c r="N17" s="176"/>
    </row>
    <row r="18" spans="2:14" ht="18" customHeight="1" x14ac:dyDescent="0.2">
      <c r="B18" s="540" t="s">
        <v>265</v>
      </c>
      <c r="C18" s="541" t="s">
        <v>237</v>
      </c>
      <c r="D18" s="541"/>
      <c r="E18" s="541"/>
      <c r="F18" s="542" t="s">
        <v>238</v>
      </c>
      <c r="G18" s="542"/>
      <c r="H18" s="542"/>
      <c r="I18" s="543"/>
      <c r="J18" s="187"/>
      <c r="K18" s="187"/>
      <c r="M18" s="182" t="s">
        <v>79</v>
      </c>
      <c r="N18" s="176"/>
    </row>
    <row r="19" spans="2:14" ht="39.75" customHeight="1" x14ac:dyDescent="0.2">
      <c r="B19" s="540"/>
      <c r="C19" s="517" t="s">
        <v>355</v>
      </c>
      <c r="D19" s="517"/>
      <c r="E19" s="517"/>
      <c r="F19" s="517" t="s">
        <v>356</v>
      </c>
      <c r="G19" s="517"/>
      <c r="H19" s="517"/>
      <c r="I19" s="518"/>
      <c r="J19" s="185"/>
      <c r="K19" s="185"/>
      <c r="M19" s="182" t="s">
        <v>95</v>
      </c>
      <c r="N19" s="176"/>
    </row>
    <row r="20" spans="2:14" ht="39.75" customHeight="1" x14ac:dyDescent="0.2">
      <c r="B20" s="224" t="s">
        <v>266</v>
      </c>
      <c r="C20" s="552" t="s">
        <v>152</v>
      </c>
      <c r="D20" s="553"/>
      <c r="E20" s="637"/>
      <c r="F20" s="520" t="s">
        <v>152</v>
      </c>
      <c r="G20" s="520"/>
      <c r="H20" s="520"/>
      <c r="I20" s="521"/>
      <c r="J20" s="179"/>
      <c r="K20" s="179"/>
      <c r="M20" s="182"/>
      <c r="N20" s="176"/>
    </row>
    <row r="21" spans="2:14" ht="42" customHeight="1" x14ac:dyDescent="0.2">
      <c r="B21" s="224" t="s">
        <v>267</v>
      </c>
      <c r="C21" s="549" t="s">
        <v>357</v>
      </c>
      <c r="D21" s="550"/>
      <c r="E21" s="551"/>
      <c r="F21" s="552" t="s">
        <v>358</v>
      </c>
      <c r="G21" s="553"/>
      <c r="H21" s="553"/>
      <c r="I21" s="554"/>
      <c r="J21" s="184"/>
      <c r="K21" s="184"/>
      <c r="M21" s="188"/>
      <c r="N21" s="176"/>
    </row>
    <row r="22" spans="2:14" ht="23.25" customHeight="1" x14ac:dyDescent="0.2">
      <c r="B22" s="224" t="s">
        <v>268</v>
      </c>
      <c r="C22" s="636">
        <v>44197</v>
      </c>
      <c r="D22" s="643"/>
      <c r="E22" s="644"/>
      <c r="F22" s="178" t="s">
        <v>271</v>
      </c>
      <c r="G22" s="275">
        <v>0.1</v>
      </c>
      <c r="H22" s="178" t="s">
        <v>275</v>
      </c>
      <c r="I22" s="276">
        <v>0.1</v>
      </c>
      <c r="J22" s="189"/>
      <c r="K22" s="189"/>
      <c r="M22" s="188"/>
    </row>
    <row r="23" spans="2:14" ht="27" customHeight="1" x14ac:dyDescent="0.2">
      <c r="B23" s="224" t="s">
        <v>269</v>
      </c>
      <c r="C23" s="636">
        <v>44561</v>
      </c>
      <c r="D23" s="553"/>
      <c r="E23" s="637"/>
      <c r="F23" s="178" t="s">
        <v>272</v>
      </c>
      <c r="G23" s="638">
        <v>0.4</v>
      </c>
      <c r="H23" s="639"/>
      <c r="I23" s="640"/>
      <c r="J23" s="190"/>
      <c r="K23" s="190"/>
      <c r="M23" s="188"/>
    </row>
    <row r="24" spans="2:14" ht="30.75" customHeight="1" x14ac:dyDescent="0.2">
      <c r="B24" s="231" t="s">
        <v>270</v>
      </c>
      <c r="C24" s="645" t="s">
        <v>88</v>
      </c>
      <c r="D24" s="646"/>
      <c r="E24" s="647"/>
      <c r="F24" s="227" t="s">
        <v>274</v>
      </c>
      <c r="G24" s="552"/>
      <c r="H24" s="553"/>
      <c r="I24" s="554"/>
      <c r="J24" s="187"/>
      <c r="K24" s="187"/>
      <c r="M24" s="188"/>
    </row>
    <row r="25" spans="2:14" ht="22.5" customHeight="1" x14ac:dyDescent="0.2">
      <c r="B25" s="648" t="s">
        <v>235</v>
      </c>
      <c r="C25" s="649"/>
      <c r="D25" s="649"/>
      <c r="E25" s="649"/>
      <c r="F25" s="649"/>
      <c r="G25" s="649"/>
      <c r="H25" s="649"/>
      <c r="I25" s="650"/>
      <c r="J25" s="175"/>
      <c r="K25" s="175"/>
      <c r="M25" s="188"/>
    </row>
    <row r="26" spans="2:14" ht="43.5" customHeight="1" x14ac:dyDescent="0.2">
      <c r="B26" s="191" t="s">
        <v>105</v>
      </c>
      <c r="C26" s="221" t="s">
        <v>261</v>
      </c>
      <c r="D26" s="221" t="s">
        <v>260</v>
      </c>
      <c r="E26" s="192" t="s">
        <v>264</v>
      </c>
      <c r="F26" s="221" t="s">
        <v>263</v>
      </c>
      <c r="G26" s="221" t="s">
        <v>262</v>
      </c>
      <c r="H26" s="192" t="s">
        <v>359</v>
      </c>
      <c r="I26" s="193" t="s">
        <v>273</v>
      </c>
      <c r="J26" s="185"/>
      <c r="K26" s="185"/>
      <c r="M26" s="188"/>
    </row>
    <row r="27" spans="2:14" ht="19.5" customHeight="1" x14ac:dyDescent="0.2">
      <c r="B27" s="194" t="s">
        <v>113</v>
      </c>
      <c r="C27" s="289">
        <v>2.7600000000000003E-2</v>
      </c>
      <c r="D27" s="288">
        <v>2.7600000000000003E-2</v>
      </c>
      <c r="E27" s="263">
        <f>IF(OR(C27=0,C27=""),0,D27/C27)</f>
        <v>1</v>
      </c>
      <c r="F27" s="580">
        <f>SUM(C27:C38)</f>
        <v>0.40000000000000008</v>
      </c>
      <c r="G27" s="580">
        <f>SUM(D27:D38)</f>
        <v>6.3200000000000006E-2</v>
      </c>
      <c r="H27" s="264">
        <f>+(D27*100%)/$G$23</f>
        <v>6.9000000000000006E-2</v>
      </c>
      <c r="I27" s="614">
        <f>G27+I22</f>
        <v>0.16320000000000001</v>
      </c>
      <c r="J27" s="195"/>
      <c r="K27" s="195"/>
      <c r="M27" s="188"/>
    </row>
    <row r="28" spans="2:14" ht="19.5" customHeight="1" x14ac:dyDescent="0.2">
      <c r="B28" s="194" t="s">
        <v>114</v>
      </c>
      <c r="C28" s="289">
        <v>1.72E-2</v>
      </c>
      <c r="D28" s="288">
        <v>1.72E-2</v>
      </c>
      <c r="E28" s="263">
        <f t="shared" ref="E28:E38" si="0">IF(OR(C28=0,C28=""),0,D28/C28)</f>
        <v>1</v>
      </c>
      <c r="F28" s="581"/>
      <c r="G28" s="581"/>
      <c r="H28" s="264">
        <f>+IF(D28="","",((D28*100%)/$G$23)+H27)</f>
        <v>0.112</v>
      </c>
      <c r="I28" s="615"/>
      <c r="J28" s="195"/>
      <c r="K28" s="195"/>
      <c r="M28" s="188"/>
    </row>
    <row r="29" spans="2:14" ht="19.5" customHeight="1" x14ac:dyDescent="0.2">
      <c r="B29" s="194" t="s">
        <v>115</v>
      </c>
      <c r="C29" s="290">
        <v>1.84E-2</v>
      </c>
      <c r="D29" s="288">
        <v>1.84E-2</v>
      </c>
      <c r="E29" s="263">
        <f t="shared" si="0"/>
        <v>1</v>
      </c>
      <c r="F29" s="581"/>
      <c r="G29" s="581"/>
      <c r="H29" s="264">
        <f t="shared" ref="H29:H38" si="1">+IF(D29="","",((D29*100%)/$G$23)+H28)</f>
        <v>0.158</v>
      </c>
      <c r="I29" s="615"/>
      <c r="J29" s="195"/>
      <c r="K29" s="195"/>
      <c r="M29" s="188"/>
    </row>
    <row r="30" spans="2:14" ht="19.5" customHeight="1" x14ac:dyDescent="0.2">
      <c r="B30" s="194" t="s">
        <v>116</v>
      </c>
      <c r="C30" s="290">
        <v>3.04E-2</v>
      </c>
      <c r="D30" s="288"/>
      <c r="E30" s="263">
        <f t="shared" si="0"/>
        <v>0</v>
      </c>
      <c r="F30" s="581"/>
      <c r="G30" s="581"/>
      <c r="H30" s="264" t="str">
        <f t="shared" si="1"/>
        <v/>
      </c>
      <c r="I30" s="615"/>
      <c r="J30" s="195"/>
      <c r="K30" s="195"/>
    </row>
    <row r="31" spans="2:14" ht="19.5" customHeight="1" x14ac:dyDescent="0.2">
      <c r="B31" s="194" t="s">
        <v>117</v>
      </c>
      <c r="C31" s="290">
        <v>1.72E-2</v>
      </c>
      <c r="D31" s="288"/>
      <c r="E31" s="263">
        <f t="shared" si="0"/>
        <v>0</v>
      </c>
      <c r="F31" s="581"/>
      <c r="G31" s="581"/>
      <c r="H31" s="264" t="str">
        <f t="shared" si="1"/>
        <v/>
      </c>
      <c r="I31" s="615"/>
      <c r="J31" s="195"/>
      <c r="K31" s="195"/>
    </row>
    <row r="32" spans="2:14" ht="19.5" customHeight="1" x14ac:dyDescent="0.2">
      <c r="B32" s="194" t="s">
        <v>118</v>
      </c>
      <c r="C32" s="290">
        <v>1.84E-2</v>
      </c>
      <c r="D32" s="288"/>
      <c r="E32" s="263">
        <f t="shared" si="0"/>
        <v>0</v>
      </c>
      <c r="F32" s="581"/>
      <c r="G32" s="581"/>
      <c r="H32" s="264" t="str">
        <f t="shared" si="1"/>
        <v/>
      </c>
      <c r="I32" s="615"/>
      <c r="J32" s="195"/>
      <c r="K32" s="195"/>
    </row>
    <row r="33" spans="2:11" ht="19.5" customHeight="1" x14ac:dyDescent="0.2">
      <c r="B33" s="194" t="s">
        <v>119</v>
      </c>
      <c r="C33" s="290">
        <v>3.04E-2</v>
      </c>
      <c r="D33" s="288"/>
      <c r="E33" s="263">
        <f t="shared" si="0"/>
        <v>0</v>
      </c>
      <c r="F33" s="581"/>
      <c r="G33" s="581"/>
      <c r="H33" s="264" t="str">
        <f t="shared" si="1"/>
        <v/>
      </c>
      <c r="I33" s="615"/>
      <c r="J33" s="195"/>
      <c r="K33" s="195"/>
    </row>
    <row r="34" spans="2:11" ht="19.5" customHeight="1" x14ac:dyDescent="0.2">
      <c r="B34" s="194" t="s">
        <v>120</v>
      </c>
      <c r="C34" s="290">
        <v>2.7200000000000002E-2</v>
      </c>
      <c r="D34" s="288"/>
      <c r="E34" s="263">
        <f t="shared" si="0"/>
        <v>0</v>
      </c>
      <c r="F34" s="581"/>
      <c r="G34" s="581"/>
      <c r="H34" s="264" t="str">
        <f t="shared" si="1"/>
        <v/>
      </c>
      <c r="I34" s="615"/>
      <c r="J34" s="195"/>
      <c r="K34" s="195"/>
    </row>
    <row r="35" spans="2:11" ht="19.5" customHeight="1" x14ac:dyDescent="0.2">
      <c r="B35" s="194" t="s">
        <v>121</v>
      </c>
      <c r="C35" s="290">
        <v>6.2400000000000004E-2</v>
      </c>
      <c r="D35" s="288"/>
      <c r="E35" s="263">
        <f t="shared" si="0"/>
        <v>0</v>
      </c>
      <c r="F35" s="581"/>
      <c r="G35" s="581"/>
      <c r="H35" s="264" t="str">
        <f t="shared" si="1"/>
        <v/>
      </c>
      <c r="I35" s="615"/>
      <c r="J35" s="195"/>
      <c r="K35" s="195"/>
    </row>
    <row r="36" spans="2:11" ht="19.5" customHeight="1" x14ac:dyDescent="0.2">
      <c r="B36" s="194" t="s">
        <v>122</v>
      </c>
      <c r="C36" s="290">
        <v>9.3200000000000005E-2</v>
      </c>
      <c r="D36" s="288"/>
      <c r="E36" s="263">
        <f t="shared" si="0"/>
        <v>0</v>
      </c>
      <c r="F36" s="581"/>
      <c r="G36" s="581"/>
      <c r="H36" s="264" t="str">
        <f t="shared" si="1"/>
        <v/>
      </c>
      <c r="I36" s="615"/>
      <c r="J36" s="195"/>
      <c r="K36" s="195"/>
    </row>
    <row r="37" spans="2:11" ht="19.5" customHeight="1" x14ac:dyDescent="0.2">
      <c r="B37" s="194" t="s">
        <v>123</v>
      </c>
      <c r="C37" s="290">
        <v>3.7600000000000001E-2</v>
      </c>
      <c r="D37" s="288"/>
      <c r="E37" s="263">
        <f t="shared" si="0"/>
        <v>0</v>
      </c>
      <c r="F37" s="581"/>
      <c r="G37" s="581"/>
      <c r="H37" s="264" t="str">
        <f t="shared" si="1"/>
        <v/>
      </c>
      <c r="I37" s="615"/>
      <c r="J37" s="195"/>
      <c r="K37" s="195"/>
    </row>
    <row r="38" spans="2:11" ht="19.5" customHeight="1" x14ac:dyDescent="0.2">
      <c r="B38" s="194" t="s">
        <v>124</v>
      </c>
      <c r="C38" s="290">
        <v>2.0000000000000004E-2</v>
      </c>
      <c r="D38" s="288"/>
      <c r="E38" s="263">
        <f t="shared" si="0"/>
        <v>0</v>
      </c>
      <c r="F38" s="582"/>
      <c r="G38" s="582"/>
      <c r="H38" s="264" t="str">
        <f t="shared" si="1"/>
        <v/>
      </c>
      <c r="I38" s="616"/>
      <c r="J38" s="195"/>
      <c r="K38" s="195"/>
    </row>
    <row r="39" spans="2:11" ht="130.5" customHeight="1" x14ac:dyDescent="0.2">
      <c r="B39" s="229" t="s">
        <v>277</v>
      </c>
      <c r="C39" s="656" t="s">
        <v>384</v>
      </c>
      <c r="D39" s="657"/>
      <c r="E39" s="657"/>
      <c r="F39" s="657"/>
      <c r="G39" s="657"/>
      <c r="H39" s="657"/>
      <c r="I39" s="658"/>
      <c r="J39" s="196"/>
      <c r="K39" s="196"/>
    </row>
    <row r="40" spans="2:11" ht="34.5" customHeight="1" x14ac:dyDescent="0.2">
      <c r="B40" s="565"/>
      <c r="C40" s="566"/>
      <c r="D40" s="566"/>
      <c r="E40" s="566"/>
      <c r="F40" s="566"/>
      <c r="G40" s="566"/>
      <c r="H40" s="566"/>
      <c r="I40" s="567"/>
      <c r="J40" s="175"/>
      <c r="K40" s="175"/>
    </row>
    <row r="41" spans="2:11" ht="34.5" customHeight="1" x14ac:dyDescent="0.2">
      <c r="B41" s="568"/>
      <c r="C41" s="569"/>
      <c r="D41" s="569"/>
      <c r="E41" s="569"/>
      <c r="F41" s="569"/>
      <c r="G41" s="569"/>
      <c r="H41" s="569"/>
      <c r="I41" s="570"/>
      <c r="J41" s="196"/>
      <c r="K41" s="196"/>
    </row>
    <row r="42" spans="2:11" ht="34.5" customHeight="1" x14ac:dyDescent="0.2">
      <c r="B42" s="568"/>
      <c r="C42" s="569"/>
      <c r="D42" s="569"/>
      <c r="E42" s="569"/>
      <c r="F42" s="569"/>
      <c r="G42" s="569"/>
      <c r="H42" s="569"/>
      <c r="I42" s="570"/>
      <c r="J42" s="196"/>
      <c r="K42" s="196"/>
    </row>
    <row r="43" spans="2:11" ht="34.5" customHeight="1" x14ac:dyDescent="0.2">
      <c r="B43" s="568"/>
      <c r="C43" s="569"/>
      <c r="D43" s="569"/>
      <c r="E43" s="569"/>
      <c r="F43" s="569"/>
      <c r="G43" s="569"/>
      <c r="H43" s="569"/>
      <c r="I43" s="570"/>
      <c r="J43" s="196"/>
      <c r="K43" s="196"/>
    </row>
    <row r="44" spans="2:11" ht="34.5" customHeight="1" x14ac:dyDescent="0.2">
      <c r="B44" s="571"/>
      <c r="C44" s="572"/>
      <c r="D44" s="572"/>
      <c r="E44" s="572"/>
      <c r="F44" s="572"/>
      <c r="G44" s="572"/>
      <c r="H44" s="572"/>
      <c r="I44" s="573"/>
      <c r="J44" s="174"/>
      <c r="K44" s="174"/>
    </row>
    <row r="45" spans="2:11" ht="149.44999999999999" customHeight="1" x14ac:dyDescent="0.2">
      <c r="B45" s="224" t="s">
        <v>278</v>
      </c>
      <c r="C45" s="659" t="s">
        <v>385</v>
      </c>
      <c r="D45" s="660"/>
      <c r="E45" s="660"/>
      <c r="F45" s="660"/>
      <c r="G45" s="660"/>
      <c r="H45" s="660"/>
      <c r="I45" s="661"/>
      <c r="J45" s="197"/>
      <c r="K45" s="197"/>
    </row>
    <row r="46" spans="2:11" ht="32.25" customHeight="1" x14ac:dyDescent="0.2">
      <c r="B46" s="224" t="s">
        <v>279</v>
      </c>
      <c r="C46" s="659"/>
      <c r="D46" s="660"/>
      <c r="E46" s="660"/>
      <c r="F46" s="660"/>
      <c r="G46" s="660"/>
      <c r="H46" s="660"/>
      <c r="I46" s="661"/>
      <c r="J46" s="197"/>
      <c r="K46" s="197"/>
    </row>
    <row r="47" spans="2:11" ht="66" customHeight="1" x14ac:dyDescent="0.2">
      <c r="B47" s="230" t="s">
        <v>280</v>
      </c>
      <c r="C47" s="662" t="s">
        <v>360</v>
      </c>
      <c r="D47" s="663"/>
      <c r="E47" s="663"/>
      <c r="F47" s="663"/>
      <c r="G47" s="663"/>
      <c r="H47" s="663"/>
      <c r="I47" s="664"/>
      <c r="J47" s="197"/>
      <c r="K47" s="197"/>
    </row>
    <row r="48" spans="2:11" ht="22.5" customHeight="1" x14ac:dyDescent="0.2">
      <c r="B48" s="648" t="s">
        <v>236</v>
      </c>
      <c r="C48" s="649"/>
      <c r="D48" s="649"/>
      <c r="E48" s="649"/>
      <c r="F48" s="649"/>
      <c r="G48" s="649"/>
      <c r="H48" s="649"/>
      <c r="I48" s="650"/>
      <c r="J48" s="197"/>
      <c r="K48" s="197"/>
    </row>
    <row r="49" spans="2:11" ht="22.5" customHeight="1" x14ac:dyDescent="0.2">
      <c r="B49" s="587" t="s">
        <v>281</v>
      </c>
      <c r="C49" s="218" t="s">
        <v>282</v>
      </c>
      <c r="D49" s="589" t="s">
        <v>283</v>
      </c>
      <c r="E49" s="589"/>
      <c r="F49" s="589"/>
      <c r="G49" s="589" t="s">
        <v>284</v>
      </c>
      <c r="H49" s="589"/>
      <c r="I49" s="590"/>
      <c r="J49" s="198"/>
      <c r="K49" s="198"/>
    </row>
    <row r="50" spans="2:11" ht="30.75" customHeight="1" x14ac:dyDescent="0.2">
      <c r="B50" s="588"/>
      <c r="C50" s="199"/>
      <c r="D50" s="623"/>
      <c r="E50" s="623"/>
      <c r="F50" s="623"/>
      <c r="G50" s="623"/>
      <c r="H50" s="623"/>
      <c r="I50" s="624"/>
      <c r="J50" s="198"/>
      <c r="K50" s="198"/>
    </row>
    <row r="51" spans="2:11" ht="32.25" customHeight="1" x14ac:dyDescent="0.2">
      <c r="B51" s="233" t="s">
        <v>285</v>
      </c>
      <c r="C51" s="652" t="s">
        <v>348</v>
      </c>
      <c r="D51" s="652"/>
      <c r="E51" s="652"/>
      <c r="F51" s="652"/>
      <c r="G51" s="652"/>
      <c r="H51" s="652"/>
      <c r="I51" s="653"/>
      <c r="J51" s="200"/>
      <c r="K51" s="200"/>
    </row>
    <row r="52" spans="2:11" ht="28.5" customHeight="1" x14ac:dyDescent="0.2">
      <c r="B52" s="234" t="s">
        <v>286</v>
      </c>
      <c r="C52" s="544" t="s">
        <v>361</v>
      </c>
      <c r="D52" s="545"/>
      <c r="E52" s="545"/>
      <c r="F52" s="545"/>
      <c r="G52" s="545"/>
      <c r="H52" s="545"/>
      <c r="I52" s="651"/>
      <c r="J52" s="200"/>
      <c r="K52" s="200"/>
    </row>
    <row r="53" spans="2:11" ht="30" customHeight="1" x14ac:dyDescent="0.2">
      <c r="B53" s="230" t="s">
        <v>287</v>
      </c>
      <c r="C53" s="652" t="s">
        <v>362</v>
      </c>
      <c r="D53" s="652"/>
      <c r="E53" s="652"/>
      <c r="F53" s="652"/>
      <c r="G53" s="652"/>
      <c r="H53" s="652"/>
      <c r="I53" s="653"/>
      <c r="J53" s="201"/>
      <c r="K53" s="201"/>
    </row>
    <row r="54" spans="2:11" ht="31.5" customHeight="1" thickBot="1" x14ac:dyDescent="0.25">
      <c r="B54" s="211" t="s">
        <v>288</v>
      </c>
      <c r="C54" s="654"/>
      <c r="D54" s="654"/>
      <c r="E54" s="654"/>
      <c r="F54" s="654"/>
      <c r="G54" s="654"/>
      <c r="H54" s="654"/>
      <c r="I54" s="655"/>
      <c r="J54" s="202"/>
      <c r="K54" s="202"/>
    </row>
    <row r="55" spans="2:11" ht="12.75" customHeight="1" x14ac:dyDescent="0.2">
      <c r="B55" s="203"/>
      <c r="C55" s="204"/>
      <c r="D55" s="204"/>
      <c r="E55" s="205"/>
      <c r="F55" s="205"/>
      <c r="G55" s="206"/>
      <c r="H55" s="207"/>
      <c r="I55" s="204"/>
      <c r="J55" s="202"/>
      <c r="K55" s="202"/>
    </row>
    <row r="56" spans="2:11" x14ac:dyDescent="0.2">
      <c r="B56" s="203"/>
      <c r="C56" s="204"/>
      <c r="D56" s="204"/>
      <c r="E56" s="205"/>
      <c r="F56" s="205"/>
      <c r="G56" s="206"/>
      <c r="H56" s="207"/>
      <c r="I56" s="204"/>
      <c r="J56" s="202"/>
      <c r="K56" s="202"/>
    </row>
    <row r="57" spans="2:11" x14ac:dyDescent="0.2">
      <c r="B57" s="203"/>
      <c r="C57" s="204"/>
      <c r="D57" s="204"/>
      <c r="E57" s="205"/>
      <c r="F57" s="205"/>
      <c r="G57" s="206"/>
      <c r="H57" s="207"/>
      <c r="I57" s="204"/>
      <c r="J57" s="202"/>
      <c r="K57" s="202"/>
    </row>
    <row r="58" spans="2:11" x14ac:dyDescent="0.2">
      <c r="B58" s="203"/>
      <c r="C58" s="204"/>
      <c r="D58" s="204"/>
      <c r="E58" s="205"/>
      <c r="F58" s="205"/>
      <c r="G58" s="206"/>
      <c r="H58" s="207"/>
      <c r="I58" s="204"/>
      <c r="J58" s="202"/>
      <c r="K58" s="202"/>
    </row>
    <row r="59" spans="2:11" x14ac:dyDescent="0.2">
      <c r="B59" s="203"/>
      <c r="C59" s="204"/>
      <c r="D59" s="204"/>
      <c r="E59" s="205"/>
      <c r="F59" s="205"/>
      <c r="G59" s="206"/>
      <c r="H59" s="207"/>
      <c r="I59" s="204"/>
      <c r="J59" s="202"/>
      <c r="K59" s="202"/>
    </row>
    <row r="60" spans="2:11" ht="25.5" customHeight="1" x14ac:dyDescent="0.2">
      <c r="B60" s="203"/>
      <c r="C60" s="204"/>
      <c r="D60" s="204"/>
      <c r="E60" s="205"/>
      <c r="F60" s="205"/>
      <c r="G60" s="206"/>
      <c r="H60" s="207"/>
      <c r="I60" s="204"/>
      <c r="J60" s="202"/>
      <c r="K60" s="202"/>
    </row>
  </sheetData>
  <sheetProtection algorithmName="SHA-512" hashValue="VhWP7p/shq8zsSrVoKSLMKkTvmwu9KTP+Ltym0VIiDARatCTRmhP64fU07c4+OAqFEzQZCWlVNGUZO+vlQdtyw==" saltValue="na1VySZcpqsE5V+y6AxnLw==" spinCount="100000" sheet="1" objects="1" scenarios="1"/>
  <mergeCells count="59">
    <mergeCell ref="B48:I4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2D20E086-09C5-4AF8-9C36-1B4164C3B531}">
      <formula1>$N$11:$N$12</formula1>
    </dataValidation>
    <dataValidation type="list" allowBlank="1" showInputMessage="1" showErrorMessage="1" sqref="H13:I13" xr:uid="{B88CB5F4-FE55-4F45-9AE2-659BC532BA86}">
      <formula1>$N$5:$N$8</formula1>
    </dataValidation>
    <dataValidation type="list" allowBlank="1" showInputMessage="1" showErrorMessage="1" sqref="J10:K10" xr:uid="{04D0E827-3163-4FB2-BF38-0AF2DCA78DE2}">
      <formula1>$M$21:$M$28</formula1>
    </dataValidation>
    <dataValidation type="list" allowBlank="1" showInputMessage="1" showErrorMessage="1" sqref="C9:F9" xr:uid="{1CB5DD7B-DA6A-4AC9-AEDB-B88DA364AEAB}">
      <formula1>$M$6:$M$9</formula1>
    </dataValidation>
    <dataValidation type="list" allowBlank="1" showInputMessage="1" showErrorMessage="1" sqref="C24:E24" xr:uid="{7B4948BA-25F7-4D17-98FC-D178A5569F49}">
      <formula1>$M$12:$M$15</formula1>
    </dataValidation>
    <dataValidation type="list" allowBlank="1" showInputMessage="1" showErrorMessage="1" sqref="H12:I12" xr:uid="{E7983320-35DA-4741-AD7C-3740F4F10B2F}">
      <formula1>M17:M19</formula1>
    </dataValidation>
    <dataValidation type="list" showDropDown="1" showInputMessage="1" showErrorMessage="1" sqref="K12" xr:uid="{05449AD0-C850-48B5-A95A-9A8F6BE01716}">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D5D7-0B49-4EA2-9E76-687B69F7C47E}">
  <sheetPr>
    <tabColor rgb="FF92D050"/>
  </sheetPr>
  <dimension ref="B1:X60"/>
  <sheetViews>
    <sheetView topLeftCell="A24" zoomScaleNormal="100" workbookViewId="0">
      <selection activeCell="D29" sqref="D29"/>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501"/>
      <c r="C1" s="504" t="s">
        <v>25</v>
      </c>
      <c r="D1" s="504"/>
      <c r="E1" s="504"/>
      <c r="F1" s="504"/>
      <c r="G1" s="504"/>
      <c r="H1" s="504"/>
      <c r="I1" s="505"/>
      <c r="J1" s="235"/>
      <c r="K1" s="235"/>
      <c r="M1" s="236" t="s">
        <v>47</v>
      </c>
    </row>
    <row r="2" spans="2:14" ht="37.5" customHeight="1" x14ac:dyDescent="0.2">
      <c r="B2" s="502"/>
      <c r="C2" s="628" t="s">
        <v>239</v>
      </c>
      <c r="D2" s="628"/>
      <c r="E2" s="628"/>
      <c r="F2" s="628"/>
      <c r="G2" s="628"/>
      <c r="H2" s="628"/>
      <c r="I2" s="506"/>
      <c r="J2" s="235"/>
      <c r="K2" s="235"/>
      <c r="M2" s="236" t="s">
        <v>48</v>
      </c>
    </row>
    <row r="3" spans="2:14" ht="37.5" customHeight="1" x14ac:dyDescent="0.2">
      <c r="B3" s="502"/>
      <c r="C3" s="628" t="s">
        <v>240</v>
      </c>
      <c r="D3" s="628"/>
      <c r="E3" s="628"/>
      <c r="F3" s="628" t="s">
        <v>241</v>
      </c>
      <c r="G3" s="628"/>
      <c r="H3" s="628"/>
      <c r="I3" s="506"/>
      <c r="J3" s="235"/>
      <c r="K3" s="235"/>
      <c r="M3" s="236" t="s">
        <v>50</v>
      </c>
    </row>
    <row r="4" spans="2:14" ht="23.25" customHeight="1" x14ac:dyDescent="0.2">
      <c r="B4" s="629"/>
      <c r="C4" s="630"/>
      <c r="D4" s="630"/>
      <c r="E4" s="630"/>
      <c r="F4" s="630"/>
      <c r="G4" s="630"/>
      <c r="H4" s="630"/>
      <c r="I4" s="631"/>
      <c r="J4" s="237"/>
      <c r="K4" s="237"/>
    </row>
    <row r="5" spans="2:14" ht="24" customHeight="1" x14ac:dyDescent="0.2">
      <c r="B5" s="513" t="s">
        <v>234</v>
      </c>
      <c r="C5" s="514"/>
      <c r="D5" s="514"/>
      <c r="E5" s="514"/>
      <c r="F5" s="514"/>
      <c r="G5" s="514"/>
      <c r="H5" s="514"/>
      <c r="I5" s="515"/>
      <c r="J5" s="238"/>
      <c r="K5" s="238"/>
      <c r="N5" s="239" t="s">
        <v>57</v>
      </c>
    </row>
    <row r="6" spans="2:14" ht="30.75" customHeight="1" x14ac:dyDescent="0.2">
      <c r="B6" s="224" t="s">
        <v>242</v>
      </c>
      <c r="C6" s="267">
        <v>4</v>
      </c>
      <c r="D6" s="516" t="s">
        <v>243</v>
      </c>
      <c r="E6" s="516"/>
      <c r="F6" s="665" t="str">
        <f>'[7]Proyecto 7550'!$N$34</f>
        <v>Implementar el Modelo Integrado de Planeación y Gestión- MIPG</v>
      </c>
      <c r="G6" s="665"/>
      <c r="H6" s="665"/>
      <c r="I6" s="666"/>
      <c r="J6" s="240"/>
      <c r="K6" s="240"/>
      <c r="M6" s="236" t="s">
        <v>60</v>
      </c>
      <c r="N6" s="239" t="s">
        <v>61</v>
      </c>
    </row>
    <row r="7" spans="2:14" ht="30.75" customHeight="1" x14ac:dyDescent="0.2">
      <c r="B7" s="224" t="s">
        <v>244</v>
      </c>
      <c r="C7" s="267" t="s">
        <v>81</v>
      </c>
      <c r="D7" s="516" t="s">
        <v>245</v>
      </c>
      <c r="E7" s="516"/>
      <c r="F7" s="667" t="s">
        <v>348</v>
      </c>
      <c r="G7" s="667"/>
      <c r="H7" s="178" t="s">
        <v>246</v>
      </c>
      <c r="I7" s="268" t="s">
        <v>81</v>
      </c>
      <c r="J7" s="241"/>
      <c r="K7" s="241"/>
      <c r="M7" s="236" t="s">
        <v>65</v>
      </c>
      <c r="N7" s="239" t="s">
        <v>66</v>
      </c>
    </row>
    <row r="8" spans="2:14" ht="30.75" customHeight="1" x14ac:dyDescent="0.2">
      <c r="B8" s="224" t="s">
        <v>247</v>
      </c>
      <c r="C8" s="665" t="s">
        <v>289</v>
      </c>
      <c r="D8" s="665"/>
      <c r="E8" s="665"/>
      <c r="F8" s="665"/>
      <c r="G8" s="178" t="s">
        <v>248</v>
      </c>
      <c r="H8" s="670">
        <v>7550</v>
      </c>
      <c r="I8" s="671"/>
      <c r="J8" s="21"/>
      <c r="K8" s="21"/>
      <c r="M8" s="236" t="s">
        <v>69</v>
      </c>
      <c r="N8" s="239" t="s">
        <v>70</v>
      </c>
    </row>
    <row r="9" spans="2:14" ht="30.75" customHeight="1" x14ac:dyDescent="0.2">
      <c r="B9" s="224" t="s">
        <v>48</v>
      </c>
      <c r="C9" s="672" t="s">
        <v>69</v>
      </c>
      <c r="D9" s="672"/>
      <c r="E9" s="672"/>
      <c r="F9" s="672"/>
      <c r="G9" s="178" t="s">
        <v>249</v>
      </c>
      <c r="H9" s="673" t="s">
        <v>349</v>
      </c>
      <c r="I9" s="674"/>
      <c r="J9" s="22"/>
      <c r="K9" s="22"/>
      <c r="M9" s="242" t="s">
        <v>73</v>
      </c>
    </row>
    <row r="10" spans="2:14" ht="30.75" customHeight="1" x14ac:dyDescent="0.2">
      <c r="B10" s="224" t="s">
        <v>250</v>
      </c>
      <c r="C10" s="665" t="s">
        <v>378</v>
      </c>
      <c r="D10" s="665"/>
      <c r="E10" s="665"/>
      <c r="F10" s="665"/>
      <c r="G10" s="665"/>
      <c r="H10" s="665"/>
      <c r="I10" s="666"/>
      <c r="J10" s="243"/>
      <c r="K10" s="243"/>
      <c r="M10" s="242"/>
    </row>
    <row r="11" spans="2:14" ht="30.75" customHeight="1" x14ac:dyDescent="0.2">
      <c r="B11" s="224" t="s">
        <v>251</v>
      </c>
      <c r="C11" s="667" t="s">
        <v>291</v>
      </c>
      <c r="D11" s="667"/>
      <c r="E11" s="667"/>
      <c r="F11" s="667"/>
      <c r="G11" s="667"/>
      <c r="H11" s="667"/>
      <c r="I11" s="675"/>
      <c r="J11" s="241"/>
      <c r="K11" s="241"/>
      <c r="M11" s="242"/>
      <c r="N11" s="239" t="s">
        <v>76</v>
      </c>
    </row>
    <row r="12" spans="2:14" ht="30.75" customHeight="1" x14ac:dyDescent="0.2">
      <c r="B12" s="224" t="s">
        <v>254</v>
      </c>
      <c r="C12" s="676" t="s">
        <v>363</v>
      </c>
      <c r="D12" s="676"/>
      <c r="E12" s="676"/>
      <c r="F12" s="676"/>
      <c r="G12" s="178" t="s">
        <v>252</v>
      </c>
      <c r="H12" s="677" t="s">
        <v>91</v>
      </c>
      <c r="I12" s="678"/>
      <c r="J12" s="241"/>
      <c r="K12" s="241"/>
      <c r="M12" s="242" t="s">
        <v>80</v>
      </c>
      <c r="N12" s="239" t="s">
        <v>81</v>
      </c>
    </row>
    <row r="13" spans="2:14" ht="30.75" customHeight="1" x14ac:dyDescent="0.2">
      <c r="B13" s="224" t="s">
        <v>255</v>
      </c>
      <c r="C13" s="679" t="s">
        <v>351</v>
      </c>
      <c r="D13" s="679"/>
      <c r="E13" s="679"/>
      <c r="F13" s="679"/>
      <c r="G13" s="178" t="s">
        <v>253</v>
      </c>
      <c r="H13" s="667" t="s">
        <v>70</v>
      </c>
      <c r="I13" s="675"/>
      <c r="J13" s="241"/>
      <c r="K13" s="241"/>
      <c r="M13" s="242" t="s">
        <v>84</v>
      </c>
    </row>
    <row r="14" spans="2:14" ht="64.5" customHeight="1" x14ac:dyDescent="0.2">
      <c r="B14" s="224" t="s">
        <v>256</v>
      </c>
      <c r="C14" s="680" t="s">
        <v>364</v>
      </c>
      <c r="D14" s="680"/>
      <c r="E14" s="680"/>
      <c r="F14" s="680"/>
      <c r="G14" s="680"/>
      <c r="H14" s="680"/>
      <c r="I14" s="681"/>
      <c r="J14" s="243"/>
      <c r="K14" s="243"/>
      <c r="M14" s="242" t="s">
        <v>86</v>
      </c>
      <c r="N14" s="239"/>
    </row>
    <row r="15" spans="2:14" ht="30.75" customHeight="1" x14ac:dyDescent="0.2">
      <c r="B15" s="224" t="s">
        <v>257</v>
      </c>
      <c r="C15" s="668" t="s">
        <v>315</v>
      </c>
      <c r="D15" s="668"/>
      <c r="E15" s="668"/>
      <c r="F15" s="668"/>
      <c r="G15" s="668"/>
      <c r="H15" s="668"/>
      <c r="I15" s="669"/>
      <c r="J15" s="244"/>
      <c r="K15" s="244"/>
      <c r="M15" s="242" t="s">
        <v>88</v>
      </c>
      <c r="N15" s="239"/>
    </row>
    <row r="16" spans="2:14" ht="20.25" customHeight="1" x14ac:dyDescent="0.2">
      <c r="B16" s="224" t="s">
        <v>258</v>
      </c>
      <c r="C16" s="665" t="s">
        <v>365</v>
      </c>
      <c r="D16" s="665"/>
      <c r="E16" s="665"/>
      <c r="F16" s="665"/>
      <c r="G16" s="665"/>
      <c r="H16" s="665"/>
      <c r="I16" s="666"/>
      <c r="J16" s="245"/>
      <c r="K16" s="245"/>
      <c r="M16" s="242"/>
      <c r="N16" s="239"/>
    </row>
    <row r="17" spans="2:14" ht="30.75" customHeight="1" x14ac:dyDescent="0.2">
      <c r="B17" s="224" t="s">
        <v>259</v>
      </c>
      <c r="C17" s="667" t="s">
        <v>152</v>
      </c>
      <c r="D17" s="688"/>
      <c r="E17" s="688"/>
      <c r="F17" s="688"/>
      <c r="G17" s="688"/>
      <c r="H17" s="688"/>
      <c r="I17" s="689"/>
      <c r="J17" s="246"/>
      <c r="K17" s="246"/>
      <c r="M17" s="242" t="s">
        <v>91</v>
      </c>
      <c r="N17" s="239"/>
    </row>
    <row r="18" spans="2:14" ht="18" customHeight="1" x14ac:dyDescent="0.2">
      <c r="B18" s="540" t="s">
        <v>265</v>
      </c>
      <c r="C18" s="541" t="s">
        <v>237</v>
      </c>
      <c r="D18" s="541"/>
      <c r="E18" s="541"/>
      <c r="F18" s="542" t="s">
        <v>238</v>
      </c>
      <c r="G18" s="542"/>
      <c r="H18" s="542"/>
      <c r="I18" s="543"/>
      <c r="J18" s="28"/>
      <c r="K18" s="28"/>
      <c r="M18" s="242" t="s">
        <v>79</v>
      </c>
      <c r="N18" s="239"/>
    </row>
    <row r="19" spans="2:14" ht="39.75" customHeight="1" x14ac:dyDescent="0.2">
      <c r="B19" s="540"/>
      <c r="C19" s="665" t="s">
        <v>366</v>
      </c>
      <c r="D19" s="665"/>
      <c r="E19" s="665"/>
      <c r="F19" s="665" t="s">
        <v>367</v>
      </c>
      <c r="G19" s="665"/>
      <c r="H19" s="665"/>
      <c r="I19" s="666"/>
      <c r="J19" s="245"/>
      <c r="K19" s="245"/>
      <c r="M19" s="242" t="s">
        <v>95</v>
      </c>
      <c r="N19" s="239"/>
    </row>
    <row r="20" spans="2:14" ht="39.75" customHeight="1" x14ac:dyDescent="0.2">
      <c r="B20" s="224" t="s">
        <v>266</v>
      </c>
      <c r="C20" s="690" t="s">
        <v>152</v>
      </c>
      <c r="D20" s="691"/>
      <c r="E20" s="692"/>
      <c r="F20" s="677" t="s">
        <v>152</v>
      </c>
      <c r="G20" s="677"/>
      <c r="H20" s="677"/>
      <c r="I20" s="678"/>
      <c r="J20" s="241"/>
      <c r="K20" s="241"/>
      <c r="M20" s="242"/>
      <c r="N20" s="239"/>
    </row>
    <row r="21" spans="2:14" ht="42" customHeight="1" x14ac:dyDescent="0.2">
      <c r="B21" s="224" t="s">
        <v>267</v>
      </c>
      <c r="C21" s="693" t="s">
        <v>368</v>
      </c>
      <c r="D21" s="694"/>
      <c r="E21" s="695"/>
      <c r="F21" s="696" t="s">
        <v>369</v>
      </c>
      <c r="G21" s="683"/>
      <c r="H21" s="683"/>
      <c r="I21" s="697"/>
      <c r="J21" s="244"/>
      <c r="K21" s="244"/>
      <c r="M21" s="247"/>
      <c r="N21" s="239"/>
    </row>
    <row r="22" spans="2:14" ht="23.25" customHeight="1" x14ac:dyDescent="0.2">
      <c r="B22" s="224" t="s">
        <v>268</v>
      </c>
      <c r="C22" s="682">
        <v>44197</v>
      </c>
      <c r="D22" s="698"/>
      <c r="E22" s="699"/>
      <c r="F22" s="178" t="s">
        <v>271</v>
      </c>
      <c r="G22" s="269">
        <v>10</v>
      </c>
      <c r="H22" s="178" t="s">
        <v>275</v>
      </c>
      <c r="I22" s="270">
        <v>10</v>
      </c>
      <c r="J22" s="30"/>
      <c r="K22" s="30"/>
      <c r="M22" s="247"/>
    </row>
    <row r="23" spans="2:14" ht="27" customHeight="1" x14ac:dyDescent="0.2">
      <c r="B23" s="224" t="s">
        <v>269</v>
      </c>
      <c r="C23" s="682">
        <v>44561</v>
      </c>
      <c r="D23" s="683"/>
      <c r="E23" s="684"/>
      <c r="F23" s="178" t="s">
        <v>272</v>
      </c>
      <c r="G23" s="685">
        <v>30</v>
      </c>
      <c r="H23" s="686"/>
      <c r="I23" s="687"/>
      <c r="J23" s="31"/>
      <c r="K23" s="31"/>
      <c r="M23" s="247"/>
    </row>
    <row r="24" spans="2:14" ht="30.75" customHeight="1" x14ac:dyDescent="0.2">
      <c r="B24" s="231" t="s">
        <v>270</v>
      </c>
      <c r="C24" s="712" t="s">
        <v>88</v>
      </c>
      <c r="D24" s="713"/>
      <c r="E24" s="714"/>
      <c r="F24" s="227" t="s">
        <v>274</v>
      </c>
      <c r="G24" s="696"/>
      <c r="H24" s="683"/>
      <c r="I24" s="697"/>
      <c r="J24" s="28"/>
      <c r="K24" s="28"/>
      <c r="M24" s="247"/>
    </row>
    <row r="25" spans="2:14" ht="22.5" customHeight="1" x14ac:dyDescent="0.2">
      <c r="B25" s="648" t="s">
        <v>235</v>
      </c>
      <c r="C25" s="649"/>
      <c r="D25" s="649"/>
      <c r="E25" s="649"/>
      <c r="F25" s="649"/>
      <c r="G25" s="649"/>
      <c r="H25" s="649"/>
      <c r="I25" s="650"/>
      <c r="J25" s="238"/>
      <c r="K25" s="238"/>
      <c r="M25" s="247"/>
    </row>
    <row r="26" spans="2:14" ht="43.5" customHeight="1" x14ac:dyDescent="0.2">
      <c r="B26" s="191" t="s">
        <v>105</v>
      </c>
      <c r="C26" s="221" t="s">
        <v>261</v>
      </c>
      <c r="D26" s="221" t="s">
        <v>260</v>
      </c>
      <c r="E26" s="192" t="s">
        <v>264</v>
      </c>
      <c r="F26" s="221" t="s">
        <v>263</v>
      </c>
      <c r="G26" s="221" t="s">
        <v>262</v>
      </c>
      <c r="H26" s="192" t="s">
        <v>359</v>
      </c>
      <c r="I26" s="193" t="s">
        <v>273</v>
      </c>
      <c r="J26" s="245"/>
      <c r="K26" s="245"/>
      <c r="M26" s="247"/>
    </row>
    <row r="27" spans="2:14" ht="19.5" customHeight="1" x14ac:dyDescent="0.2">
      <c r="B27" s="194" t="s">
        <v>113</v>
      </c>
      <c r="C27" s="271">
        <f>24.7%*G23</f>
        <v>7.41</v>
      </c>
      <c r="D27" s="272">
        <f>+C27</f>
        <v>7.41</v>
      </c>
      <c r="E27" s="273">
        <f>+D27/C27</f>
        <v>1</v>
      </c>
      <c r="F27" s="580">
        <f>SUM(C27:C38)</f>
        <v>30</v>
      </c>
      <c r="G27" s="580">
        <f>SUM(D27:D38)</f>
        <v>9.2100000000000009</v>
      </c>
      <c r="H27" s="264">
        <f>+(D27*100%)/$G$23</f>
        <v>0.247</v>
      </c>
      <c r="I27" s="715">
        <f>G27+I22</f>
        <v>19.21</v>
      </c>
      <c r="J27" s="248"/>
      <c r="K27" s="38"/>
      <c r="M27" s="247"/>
    </row>
    <row r="28" spans="2:14" ht="19.5" customHeight="1" x14ac:dyDescent="0.2">
      <c r="B28" s="194" t="s">
        <v>114</v>
      </c>
      <c r="C28" s="271">
        <f>3.3%*G23</f>
        <v>0.99</v>
      </c>
      <c r="D28" s="272">
        <v>0.99</v>
      </c>
      <c r="E28" s="273">
        <f t="shared" ref="E28:E38" si="0">+D28/C28</f>
        <v>1</v>
      </c>
      <c r="F28" s="581"/>
      <c r="G28" s="581"/>
      <c r="H28" s="264">
        <f>+IF(D28="","",((D28*100%)/$G$23)+H27)</f>
        <v>0.28000000000000003</v>
      </c>
      <c r="I28" s="716"/>
      <c r="J28" s="248"/>
      <c r="K28" s="38"/>
      <c r="M28" s="247"/>
    </row>
    <row r="29" spans="2:14" ht="19.5" customHeight="1" x14ac:dyDescent="0.2">
      <c r="B29" s="194" t="s">
        <v>115</v>
      </c>
      <c r="C29" s="274">
        <f>2.7%*G23</f>
        <v>0.81</v>
      </c>
      <c r="D29" s="292">
        <v>0.81</v>
      </c>
      <c r="E29" s="273">
        <f t="shared" si="0"/>
        <v>1</v>
      </c>
      <c r="F29" s="581"/>
      <c r="G29" s="581"/>
      <c r="H29" s="264">
        <f t="shared" ref="H29:H38" si="1">+IF(D29="","",((D29*100%)/$G$23)+H28)</f>
        <v>0.30700000000000005</v>
      </c>
      <c r="I29" s="716"/>
      <c r="J29" s="248"/>
      <c r="K29" s="38"/>
      <c r="M29" s="247"/>
    </row>
    <row r="30" spans="2:14" ht="19.5" customHeight="1" x14ac:dyDescent="0.2">
      <c r="B30" s="194" t="s">
        <v>116</v>
      </c>
      <c r="C30" s="274">
        <f>20%*G23</f>
        <v>6</v>
      </c>
      <c r="D30" s="272"/>
      <c r="E30" s="273">
        <f t="shared" si="0"/>
        <v>0</v>
      </c>
      <c r="F30" s="581"/>
      <c r="G30" s="581"/>
      <c r="H30" s="264" t="str">
        <f t="shared" si="1"/>
        <v/>
      </c>
      <c r="I30" s="716"/>
      <c r="J30" s="248"/>
      <c r="K30" s="38"/>
    </row>
    <row r="31" spans="2:14" ht="19.5" customHeight="1" x14ac:dyDescent="0.2">
      <c r="B31" s="194" t="s">
        <v>117</v>
      </c>
      <c r="C31" s="274">
        <f>5.3%*G23</f>
        <v>1.5899999999999999</v>
      </c>
      <c r="D31" s="272"/>
      <c r="E31" s="273">
        <f t="shared" si="0"/>
        <v>0</v>
      </c>
      <c r="F31" s="581"/>
      <c r="G31" s="581"/>
      <c r="H31" s="264" t="str">
        <f t="shared" si="1"/>
        <v/>
      </c>
      <c r="I31" s="716"/>
      <c r="J31" s="248"/>
      <c r="K31" s="38"/>
    </row>
    <row r="32" spans="2:14" ht="19.5" customHeight="1" x14ac:dyDescent="0.2">
      <c r="B32" s="194" t="s">
        <v>118</v>
      </c>
      <c r="C32" s="274">
        <f>2.7%*G23</f>
        <v>0.81</v>
      </c>
      <c r="D32" s="272"/>
      <c r="E32" s="273">
        <f t="shared" si="0"/>
        <v>0</v>
      </c>
      <c r="F32" s="581"/>
      <c r="G32" s="581"/>
      <c r="H32" s="264" t="str">
        <f t="shared" si="1"/>
        <v/>
      </c>
      <c r="I32" s="716"/>
      <c r="J32" s="248"/>
      <c r="K32" s="38"/>
    </row>
    <row r="33" spans="2:11" ht="19.5" customHeight="1" x14ac:dyDescent="0.2">
      <c r="B33" s="194" t="s">
        <v>119</v>
      </c>
      <c r="C33" s="274">
        <f>2.7%*G23</f>
        <v>0.81</v>
      </c>
      <c r="D33" s="272"/>
      <c r="E33" s="273">
        <f t="shared" si="0"/>
        <v>0</v>
      </c>
      <c r="F33" s="581"/>
      <c r="G33" s="581"/>
      <c r="H33" s="264" t="str">
        <f t="shared" si="1"/>
        <v/>
      </c>
      <c r="I33" s="716"/>
      <c r="J33" s="248"/>
      <c r="K33" s="38"/>
    </row>
    <row r="34" spans="2:11" ht="19.5" customHeight="1" x14ac:dyDescent="0.2">
      <c r="B34" s="194" t="s">
        <v>120</v>
      </c>
      <c r="C34" s="274">
        <f>10%*G23</f>
        <v>3</v>
      </c>
      <c r="D34" s="272"/>
      <c r="E34" s="273">
        <f t="shared" si="0"/>
        <v>0</v>
      </c>
      <c r="F34" s="581"/>
      <c r="G34" s="581"/>
      <c r="H34" s="264" t="str">
        <f t="shared" si="1"/>
        <v/>
      </c>
      <c r="I34" s="716"/>
      <c r="J34" s="248"/>
      <c r="K34" s="38"/>
    </row>
    <row r="35" spans="2:11" ht="19.5" customHeight="1" x14ac:dyDescent="0.2">
      <c r="B35" s="194" t="s">
        <v>121</v>
      </c>
      <c r="C35" s="274">
        <f>5.3%*G23</f>
        <v>1.5899999999999999</v>
      </c>
      <c r="D35" s="272"/>
      <c r="E35" s="273">
        <f t="shared" si="0"/>
        <v>0</v>
      </c>
      <c r="F35" s="581"/>
      <c r="G35" s="581"/>
      <c r="H35" s="264" t="str">
        <f t="shared" si="1"/>
        <v/>
      </c>
      <c r="I35" s="716"/>
      <c r="J35" s="248"/>
      <c r="K35" s="38"/>
    </row>
    <row r="36" spans="2:11" ht="19.5" customHeight="1" x14ac:dyDescent="0.2">
      <c r="B36" s="194" t="s">
        <v>122</v>
      </c>
      <c r="C36" s="274">
        <f>6.7%*G23</f>
        <v>2.0100000000000002</v>
      </c>
      <c r="D36" s="272"/>
      <c r="E36" s="273">
        <f t="shared" si="0"/>
        <v>0</v>
      </c>
      <c r="F36" s="581"/>
      <c r="G36" s="581"/>
      <c r="H36" s="264" t="str">
        <f t="shared" si="1"/>
        <v/>
      </c>
      <c r="I36" s="716"/>
      <c r="J36" s="248"/>
      <c r="K36" s="38"/>
    </row>
    <row r="37" spans="2:11" ht="19.5" customHeight="1" x14ac:dyDescent="0.2">
      <c r="B37" s="194" t="s">
        <v>123</v>
      </c>
      <c r="C37" s="274">
        <f>2.5%*G23</f>
        <v>0.75</v>
      </c>
      <c r="D37" s="272"/>
      <c r="E37" s="273">
        <f t="shared" si="0"/>
        <v>0</v>
      </c>
      <c r="F37" s="581"/>
      <c r="G37" s="581"/>
      <c r="H37" s="264" t="str">
        <f t="shared" si="1"/>
        <v/>
      </c>
      <c r="I37" s="716"/>
      <c r="J37" s="248"/>
      <c r="K37" s="38"/>
    </row>
    <row r="38" spans="2:11" ht="19.5" customHeight="1" x14ac:dyDescent="0.2">
      <c r="B38" s="194" t="s">
        <v>124</v>
      </c>
      <c r="C38" s="274">
        <f>14.1%*G23</f>
        <v>4.2299999999999995</v>
      </c>
      <c r="D38" s="272"/>
      <c r="E38" s="273">
        <f t="shared" si="0"/>
        <v>0</v>
      </c>
      <c r="F38" s="582"/>
      <c r="G38" s="582"/>
      <c r="H38" s="264" t="str">
        <f t="shared" si="1"/>
        <v/>
      </c>
      <c r="I38" s="717"/>
      <c r="J38" s="248"/>
      <c r="K38" s="38"/>
    </row>
    <row r="39" spans="2:11" ht="216" customHeight="1" x14ac:dyDescent="0.2">
      <c r="B39" s="229" t="s">
        <v>277</v>
      </c>
      <c r="C39" s="700" t="s">
        <v>396</v>
      </c>
      <c r="D39" s="701"/>
      <c r="E39" s="701"/>
      <c r="F39" s="701"/>
      <c r="G39" s="701"/>
      <c r="H39" s="701"/>
      <c r="I39" s="702"/>
      <c r="J39" s="249"/>
      <c r="K39" s="249"/>
    </row>
    <row r="40" spans="2:11" ht="34.5" customHeight="1" x14ac:dyDescent="0.2">
      <c r="B40" s="565"/>
      <c r="C40" s="566"/>
      <c r="D40" s="566"/>
      <c r="E40" s="566"/>
      <c r="F40" s="566"/>
      <c r="G40" s="566"/>
      <c r="H40" s="566"/>
      <c r="I40" s="567"/>
      <c r="J40" s="238"/>
      <c r="K40" s="238"/>
    </row>
    <row r="41" spans="2:11" ht="34.5" customHeight="1" x14ac:dyDescent="0.2">
      <c r="B41" s="568"/>
      <c r="C41" s="569"/>
      <c r="D41" s="569"/>
      <c r="E41" s="569"/>
      <c r="F41" s="569"/>
      <c r="G41" s="569"/>
      <c r="H41" s="569"/>
      <c r="I41" s="570"/>
      <c r="J41" s="249"/>
      <c r="K41" s="249"/>
    </row>
    <row r="42" spans="2:11" ht="34.5" customHeight="1" x14ac:dyDescent="0.2">
      <c r="B42" s="568"/>
      <c r="C42" s="569"/>
      <c r="D42" s="569"/>
      <c r="E42" s="569"/>
      <c r="F42" s="569"/>
      <c r="G42" s="569"/>
      <c r="H42" s="569"/>
      <c r="I42" s="570"/>
      <c r="J42" s="249"/>
      <c r="K42" s="249"/>
    </row>
    <row r="43" spans="2:11" ht="34.5" customHeight="1" x14ac:dyDescent="0.2">
      <c r="B43" s="568"/>
      <c r="C43" s="569"/>
      <c r="D43" s="569"/>
      <c r="E43" s="569"/>
      <c r="F43" s="569"/>
      <c r="G43" s="569"/>
      <c r="H43" s="569"/>
      <c r="I43" s="570"/>
      <c r="J43" s="249"/>
      <c r="K43" s="249"/>
    </row>
    <row r="44" spans="2:11" ht="34.5" customHeight="1" x14ac:dyDescent="0.2">
      <c r="B44" s="571"/>
      <c r="C44" s="572"/>
      <c r="D44" s="572"/>
      <c r="E44" s="572"/>
      <c r="F44" s="572"/>
      <c r="G44" s="572"/>
      <c r="H44" s="572"/>
      <c r="I44" s="573"/>
      <c r="J44" s="237"/>
      <c r="K44" s="237"/>
    </row>
    <row r="45" spans="2:11" ht="210.75" customHeight="1" x14ac:dyDescent="0.2">
      <c r="B45" s="224" t="s">
        <v>278</v>
      </c>
      <c r="C45" s="703" t="s">
        <v>401</v>
      </c>
      <c r="D45" s="704"/>
      <c r="E45" s="704"/>
      <c r="F45" s="704"/>
      <c r="G45" s="704"/>
      <c r="H45" s="704"/>
      <c r="I45" s="705"/>
      <c r="J45" s="250"/>
      <c r="K45" s="250"/>
    </row>
    <row r="46" spans="2:11" ht="32.25" customHeight="1" x14ac:dyDescent="0.2">
      <c r="B46" s="224" t="s">
        <v>279</v>
      </c>
      <c r="C46" s="706" t="s">
        <v>388</v>
      </c>
      <c r="D46" s="707"/>
      <c r="E46" s="707"/>
      <c r="F46" s="707"/>
      <c r="G46" s="707"/>
      <c r="H46" s="707"/>
      <c r="I46" s="708"/>
      <c r="J46" s="250"/>
      <c r="K46" s="250"/>
    </row>
    <row r="47" spans="2:11" ht="105.75" customHeight="1" x14ac:dyDescent="0.2">
      <c r="B47" s="230" t="s">
        <v>280</v>
      </c>
      <c r="C47" s="709" t="s">
        <v>379</v>
      </c>
      <c r="D47" s="710"/>
      <c r="E47" s="710"/>
      <c r="F47" s="710"/>
      <c r="G47" s="710"/>
      <c r="H47" s="710"/>
      <c r="I47" s="711"/>
      <c r="J47" s="250"/>
      <c r="K47" s="250"/>
    </row>
    <row r="48" spans="2:11" ht="22.5" customHeight="1" x14ac:dyDescent="0.2">
      <c r="B48" s="648" t="s">
        <v>236</v>
      </c>
      <c r="C48" s="649"/>
      <c r="D48" s="649"/>
      <c r="E48" s="649"/>
      <c r="F48" s="649"/>
      <c r="G48" s="649"/>
      <c r="H48" s="649"/>
      <c r="I48" s="650"/>
      <c r="J48" s="250"/>
      <c r="K48" s="250"/>
    </row>
    <row r="49" spans="2:11" ht="22.5" customHeight="1" x14ac:dyDescent="0.2">
      <c r="B49" s="587" t="s">
        <v>281</v>
      </c>
      <c r="C49" s="218" t="s">
        <v>282</v>
      </c>
      <c r="D49" s="589" t="s">
        <v>283</v>
      </c>
      <c r="E49" s="589"/>
      <c r="F49" s="589"/>
      <c r="G49" s="589" t="s">
        <v>284</v>
      </c>
      <c r="H49" s="589"/>
      <c r="I49" s="590"/>
      <c r="J49" s="251"/>
      <c r="K49" s="251"/>
    </row>
    <row r="50" spans="2:11" ht="30.75" customHeight="1" x14ac:dyDescent="0.2">
      <c r="B50" s="588"/>
      <c r="C50" s="199"/>
      <c r="D50" s="623"/>
      <c r="E50" s="623"/>
      <c r="F50" s="623"/>
      <c r="G50" s="623"/>
      <c r="H50" s="623"/>
      <c r="I50" s="624"/>
      <c r="J50" s="251"/>
      <c r="K50" s="251"/>
    </row>
    <row r="51" spans="2:11" ht="32.25" customHeight="1" x14ac:dyDescent="0.2">
      <c r="B51" s="233" t="s">
        <v>285</v>
      </c>
      <c r="C51" s="721" t="s">
        <v>370</v>
      </c>
      <c r="D51" s="721"/>
      <c r="E51" s="721"/>
      <c r="F51" s="721"/>
      <c r="G51" s="721"/>
      <c r="H51" s="721"/>
      <c r="I51" s="722"/>
      <c r="J51" s="252"/>
      <c r="K51" s="252"/>
    </row>
    <row r="52" spans="2:11" ht="28.5" customHeight="1" x14ac:dyDescent="0.2">
      <c r="B52" s="234" t="s">
        <v>286</v>
      </c>
      <c r="C52" s="718" t="s">
        <v>389</v>
      </c>
      <c r="D52" s="719"/>
      <c r="E52" s="719"/>
      <c r="F52" s="719"/>
      <c r="G52" s="719"/>
      <c r="H52" s="719"/>
      <c r="I52" s="720"/>
      <c r="J52" s="252"/>
      <c r="K52" s="252"/>
    </row>
    <row r="53" spans="2:11" ht="30" customHeight="1" x14ac:dyDescent="0.2">
      <c r="B53" s="230" t="s">
        <v>287</v>
      </c>
      <c r="C53" s="721" t="s">
        <v>348</v>
      </c>
      <c r="D53" s="721"/>
      <c r="E53" s="721"/>
      <c r="F53" s="721"/>
      <c r="G53" s="721"/>
      <c r="H53" s="721"/>
      <c r="I53" s="722"/>
      <c r="J53" s="253"/>
      <c r="K53" s="253"/>
    </row>
    <row r="54" spans="2:11" ht="31.5" customHeight="1" thickBot="1" x14ac:dyDescent="0.25">
      <c r="B54" s="211" t="s">
        <v>288</v>
      </c>
      <c r="C54" s="723"/>
      <c r="D54" s="723"/>
      <c r="E54" s="723"/>
      <c r="F54" s="723"/>
      <c r="G54" s="723"/>
      <c r="H54" s="723"/>
      <c r="I54" s="724"/>
      <c r="J54" s="254"/>
      <c r="K54" s="254"/>
    </row>
    <row r="55" spans="2:11" ht="12.75" customHeight="1" x14ac:dyDescent="0.2">
      <c r="B55" s="255"/>
      <c r="C55" s="256"/>
      <c r="D55" s="256"/>
      <c r="E55" s="257"/>
      <c r="F55" s="257"/>
      <c r="G55" s="258"/>
      <c r="H55" s="259"/>
      <c r="I55" s="256"/>
      <c r="J55" s="254"/>
      <c r="K55" s="254"/>
    </row>
    <row r="56" spans="2:11" x14ac:dyDescent="0.2">
      <c r="B56" s="255"/>
      <c r="C56" s="256"/>
      <c r="D56" s="256"/>
      <c r="E56" s="257"/>
      <c r="F56" s="257"/>
      <c r="G56" s="258"/>
      <c r="H56" s="259"/>
      <c r="I56" s="256"/>
      <c r="J56" s="254"/>
      <c r="K56" s="254"/>
    </row>
    <row r="57" spans="2:11" x14ac:dyDescent="0.2">
      <c r="B57" s="255"/>
      <c r="C57" s="256"/>
      <c r="D57" s="256"/>
      <c r="E57" s="257"/>
      <c r="F57" s="257"/>
      <c r="G57" s="258"/>
      <c r="H57" s="259"/>
      <c r="I57" s="256"/>
      <c r="J57" s="254"/>
      <c r="K57" s="254"/>
    </row>
    <row r="58" spans="2:11" x14ac:dyDescent="0.2">
      <c r="B58" s="255"/>
      <c r="C58" s="256"/>
      <c r="D58" s="256"/>
      <c r="E58" s="257"/>
      <c r="F58" s="257"/>
      <c r="G58" s="258"/>
      <c r="H58" s="259"/>
      <c r="I58" s="256"/>
      <c r="J58" s="254"/>
      <c r="K58" s="254"/>
    </row>
    <row r="59" spans="2:11" x14ac:dyDescent="0.2">
      <c r="B59" s="255"/>
      <c r="C59" s="256"/>
      <c r="D59" s="256"/>
      <c r="E59" s="257"/>
      <c r="F59" s="257"/>
      <c r="G59" s="258"/>
      <c r="H59" s="259"/>
      <c r="I59" s="256"/>
      <c r="J59" s="254"/>
      <c r="K59" s="254"/>
    </row>
    <row r="60" spans="2:11" ht="25.5" customHeight="1" x14ac:dyDescent="0.2">
      <c r="B60" s="255"/>
      <c r="C60" s="256"/>
      <c r="D60" s="256"/>
      <c r="E60" s="257"/>
      <c r="F60" s="257"/>
      <c r="G60" s="258"/>
      <c r="H60" s="259"/>
      <c r="I60" s="256"/>
      <c r="J60" s="254"/>
      <c r="K60" s="254"/>
    </row>
  </sheetData>
  <sheetProtection algorithmName="SHA-512" hashValue="NBGsJJNk9inVHMwa1oF7ITlr3Sjf5IhBK9/7IJKsAu41GTBAvL7ahu+/H/oWZr9CCpqLE+ZFDwTowOmNwlhhVA==" saltValue="SXT4efAaX5DHeEkd2SXm2w==" spinCount="100000" sheet="1" objects="1" scenarios="1"/>
  <mergeCells count="59">
    <mergeCell ref="C52:I52"/>
    <mergeCell ref="C53:I53"/>
    <mergeCell ref="C54:I54"/>
    <mergeCell ref="C51:I51"/>
    <mergeCell ref="B48:I48"/>
    <mergeCell ref="B49:B50"/>
    <mergeCell ref="D49:F49"/>
    <mergeCell ref="G49:I49"/>
    <mergeCell ref="D50:F50"/>
    <mergeCell ref="G50:I50"/>
    <mergeCell ref="C24:E24"/>
    <mergeCell ref="G24:I24"/>
    <mergeCell ref="B25:I25"/>
    <mergeCell ref="F27:F38"/>
    <mergeCell ref="G27:G38"/>
    <mergeCell ref="I27:I38"/>
    <mergeCell ref="B40:I44"/>
    <mergeCell ref="C39:I39"/>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D43799A-6EBB-47E1-8203-F08E19AD0C47}">
      <formula1>$N$11:$N$12</formula1>
    </dataValidation>
    <dataValidation type="list" allowBlank="1" showInputMessage="1" showErrorMessage="1" sqref="H13:I13" xr:uid="{2AFEF7B8-C31A-439E-A7EC-38882C13E439}">
      <formula1>$N$5:$N$8</formula1>
    </dataValidation>
    <dataValidation type="list" allowBlank="1" showInputMessage="1" showErrorMessage="1" sqref="J10:K10" xr:uid="{D89B78B0-C82E-4837-930A-84AE2EA5722E}">
      <formula1>$M$21:$M$28</formula1>
    </dataValidation>
    <dataValidation type="list" allowBlank="1" showInputMessage="1" showErrorMessage="1" sqref="C9:F9" xr:uid="{112055D0-EA98-4200-AAD6-270390168D80}">
      <formula1>$M$6:$M$9</formula1>
    </dataValidation>
    <dataValidation type="list" allowBlank="1" showInputMessage="1" showErrorMessage="1" sqref="C24:E24" xr:uid="{D1AE4087-7A08-4345-AF8B-AC437AEF47F3}">
      <formula1>$M$12:$M$15</formula1>
    </dataValidation>
    <dataValidation type="list" allowBlank="1" showInputMessage="1" showErrorMessage="1" sqref="H12:I12" xr:uid="{92F03C75-4884-49F6-B561-110143ACE746}">
      <formula1>M17:M19</formula1>
    </dataValidation>
    <dataValidation type="list" showDropDown="1" showInputMessage="1" showErrorMessage="1" sqref="K12" xr:uid="{22D17BAE-234D-42D5-9EF6-204EE9178118}">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7174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7174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2A61-4F36-4ADE-8FC7-C7CB2BF0651D}">
  <sheetPr>
    <tabColor rgb="FF92D050"/>
  </sheetPr>
  <dimension ref="B1:X60"/>
  <sheetViews>
    <sheetView topLeftCell="A25" zoomScale="85" zoomScaleNormal="85" zoomScalePageLayoutView="85" workbookViewId="0">
      <selection activeCell="D29" sqref="D29"/>
    </sheetView>
  </sheetViews>
  <sheetFormatPr baseColWidth="10" defaultColWidth="10.85546875" defaultRowHeight="12.75" x14ac:dyDescent="0.2"/>
  <cols>
    <col min="1" max="1" width="1" style="173" customWidth="1"/>
    <col min="2" max="2" width="25.42578125" style="208" customWidth="1"/>
    <col min="3" max="3" width="14.42578125" style="173" customWidth="1"/>
    <col min="4" max="4" width="20.140625" style="173" customWidth="1"/>
    <col min="5" max="5" width="16.42578125" style="173" customWidth="1"/>
    <col min="6" max="6" width="25" style="173" customWidth="1"/>
    <col min="7" max="7" width="22" style="208" customWidth="1"/>
    <col min="8" max="8" width="20.42578125" style="173" customWidth="1"/>
    <col min="9" max="9" width="36.28515625" style="173" customWidth="1"/>
    <col min="10" max="11" width="22.42578125" style="173" customWidth="1"/>
    <col min="12" max="24" width="10.85546875" style="171"/>
    <col min="25" max="16384" width="10.85546875" style="173"/>
  </cols>
  <sheetData>
    <row r="1" spans="2:14" ht="37.5" customHeight="1" x14ac:dyDescent="0.2">
      <c r="B1" s="501"/>
      <c r="C1" s="504" t="s">
        <v>25</v>
      </c>
      <c r="D1" s="504"/>
      <c r="E1" s="504"/>
      <c r="F1" s="504"/>
      <c r="G1" s="504"/>
      <c r="H1" s="504"/>
      <c r="I1" s="505"/>
      <c r="J1" s="170"/>
      <c r="K1" s="170"/>
      <c r="M1" s="172" t="s">
        <v>47</v>
      </c>
    </row>
    <row r="2" spans="2:14" ht="37.5" customHeight="1" x14ac:dyDescent="0.2">
      <c r="B2" s="502"/>
      <c r="C2" s="508" t="s">
        <v>239</v>
      </c>
      <c r="D2" s="508"/>
      <c r="E2" s="508"/>
      <c r="F2" s="508"/>
      <c r="G2" s="508"/>
      <c r="H2" s="508"/>
      <c r="I2" s="506"/>
      <c r="J2" s="170"/>
      <c r="K2" s="170"/>
      <c r="M2" s="172" t="s">
        <v>48</v>
      </c>
    </row>
    <row r="3" spans="2:14" ht="37.5" customHeight="1" thickBot="1" x14ac:dyDescent="0.25">
      <c r="B3" s="503"/>
      <c r="C3" s="509" t="s">
        <v>240</v>
      </c>
      <c r="D3" s="509"/>
      <c r="E3" s="509"/>
      <c r="F3" s="509" t="s">
        <v>241</v>
      </c>
      <c r="G3" s="509"/>
      <c r="H3" s="509"/>
      <c r="I3" s="507"/>
      <c r="J3" s="170"/>
      <c r="K3" s="170"/>
      <c r="M3" s="172" t="s">
        <v>50</v>
      </c>
    </row>
    <row r="4" spans="2:14" ht="23.25" customHeight="1" x14ac:dyDescent="0.2">
      <c r="B4" s="725"/>
      <c r="C4" s="726"/>
      <c r="D4" s="726"/>
      <c r="E4" s="726"/>
      <c r="F4" s="726"/>
      <c r="G4" s="726"/>
      <c r="H4" s="726"/>
      <c r="I4" s="727"/>
      <c r="J4" s="174"/>
      <c r="K4" s="174"/>
    </row>
    <row r="5" spans="2:14" ht="24" customHeight="1" x14ac:dyDescent="0.2">
      <c r="B5" s="513" t="s">
        <v>234</v>
      </c>
      <c r="C5" s="514"/>
      <c r="D5" s="514"/>
      <c r="E5" s="514"/>
      <c r="F5" s="514"/>
      <c r="G5" s="514"/>
      <c r="H5" s="514"/>
      <c r="I5" s="515"/>
      <c r="J5" s="175"/>
      <c r="K5" s="175"/>
      <c r="N5" s="176" t="s">
        <v>57</v>
      </c>
    </row>
    <row r="6" spans="2:14" ht="30.75" customHeight="1" x14ac:dyDescent="0.2">
      <c r="B6" s="224" t="s">
        <v>242</v>
      </c>
      <c r="C6" s="222">
        <v>5</v>
      </c>
      <c r="D6" s="516" t="s">
        <v>243</v>
      </c>
      <c r="E6" s="516"/>
      <c r="F6" s="517" t="s">
        <v>294</v>
      </c>
      <c r="G6" s="517"/>
      <c r="H6" s="517"/>
      <c r="I6" s="518"/>
      <c r="J6" s="177"/>
      <c r="K6" s="177"/>
      <c r="M6" s="172" t="s">
        <v>60</v>
      </c>
      <c r="N6" s="176" t="s">
        <v>61</v>
      </c>
    </row>
    <row r="7" spans="2:14" ht="30.75" customHeight="1" x14ac:dyDescent="0.2">
      <c r="B7" s="224" t="s">
        <v>244</v>
      </c>
      <c r="C7" s="222" t="s">
        <v>81</v>
      </c>
      <c r="D7" s="516" t="s">
        <v>245</v>
      </c>
      <c r="E7" s="516"/>
      <c r="F7" s="517" t="s">
        <v>333</v>
      </c>
      <c r="G7" s="517"/>
      <c r="H7" s="178" t="s">
        <v>246</v>
      </c>
      <c r="I7" s="223" t="s">
        <v>81</v>
      </c>
      <c r="J7" s="179"/>
      <c r="K7" s="179"/>
      <c r="M7" s="172" t="s">
        <v>65</v>
      </c>
      <c r="N7" s="176" t="s">
        <v>66</v>
      </c>
    </row>
    <row r="8" spans="2:14" ht="30.75" customHeight="1" x14ac:dyDescent="0.2">
      <c r="B8" s="224" t="s">
        <v>247</v>
      </c>
      <c r="C8" s="517" t="s">
        <v>289</v>
      </c>
      <c r="D8" s="517"/>
      <c r="E8" s="517"/>
      <c r="F8" s="517"/>
      <c r="G8" s="178" t="s">
        <v>248</v>
      </c>
      <c r="H8" s="522">
        <v>7550</v>
      </c>
      <c r="I8" s="523"/>
      <c r="J8" s="180"/>
      <c r="K8" s="180"/>
      <c r="M8" s="172" t="s">
        <v>69</v>
      </c>
      <c r="N8" s="176" t="s">
        <v>70</v>
      </c>
    </row>
    <row r="9" spans="2:14" ht="30.75" customHeight="1" x14ac:dyDescent="0.2">
      <c r="B9" s="224" t="s">
        <v>48</v>
      </c>
      <c r="C9" s="524" t="s">
        <v>60</v>
      </c>
      <c r="D9" s="524"/>
      <c r="E9" s="524"/>
      <c r="F9" s="524"/>
      <c r="G9" s="178" t="s">
        <v>249</v>
      </c>
      <c r="H9" s="525" t="s">
        <v>316</v>
      </c>
      <c r="I9" s="526"/>
      <c r="J9" s="181"/>
      <c r="K9" s="181"/>
      <c r="M9" s="182" t="s">
        <v>73</v>
      </c>
    </row>
    <row r="10" spans="2:14" ht="39" customHeight="1" x14ac:dyDescent="0.2">
      <c r="B10" s="224" t="s">
        <v>250</v>
      </c>
      <c r="C10" s="517" t="s">
        <v>375</v>
      </c>
      <c r="D10" s="517"/>
      <c r="E10" s="517"/>
      <c r="F10" s="517"/>
      <c r="G10" s="517"/>
      <c r="H10" s="517"/>
      <c r="I10" s="518"/>
      <c r="J10" s="183"/>
      <c r="K10" s="183"/>
      <c r="M10" s="182"/>
    </row>
    <row r="11" spans="2:14" ht="30.75" customHeight="1" x14ac:dyDescent="0.2">
      <c r="B11" s="224" t="s">
        <v>251</v>
      </c>
      <c r="C11" s="519" t="str">
        <f>'[7]Proyecto 7550'!$E$53</f>
        <v>Realizar el fortalecimiento institucional de la estructura orgánica y funcional de la SDA, IDIGER, JBB, E IDPYBA</v>
      </c>
      <c r="D11" s="519"/>
      <c r="E11" s="519"/>
      <c r="F11" s="519"/>
      <c r="G11" s="519"/>
      <c r="H11" s="519"/>
      <c r="I11" s="728"/>
      <c r="J11" s="179"/>
      <c r="K11" s="179"/>
      <c r="M11" s="182"/>
      <c r="N11" s="176" t="s">
        <v>76</v>
      </c>
    </row>
    <row r="12" spans="2:14" ht="30.75" customHeight="1" x14ac:dyDescent="0.2">
      <c r="B12" s="224" t="s">
        <v>254</v>
      </c>
      <c r="C12" s="520" t="s">
        <v>308</v>
      </c>
      <c r="D12" s="520"/>
      <c r="E12" s="520"/>
      <c r="F12" s="520"/>
      <c r="G12" s="178" t="s">
        <v>252</v>
      </c>
      <c r="H12" s="547" t="s">
        <v>91</v>
      </c>
      <c r="I12" s="548"/>
      <c r="J12" s="179"/>
      <c r="K12" s="179"/>
      <c r="M12" s="182" t="s">
        <v>80</v>
      </c>
      <c r="N12" s="176" t="s">
        <v>81</v>
      </c>
    </row>
    <row r="13" spans="2:14" ht="30.75" customHeight="1" x14ac:dyDescent="0.2">
      <c r="B13" s="224" t="s">
        <v>255</v>
      </c>
      <c r="C13" s="531" t="s">
        <v>346</v>
      </c>
      <c r="D13" s="531"/>
      <c r="E13" s="531"/>
      <c r="F13" s="531"/>
      <c r="G13" s="178" t="s">
        <v>253</v>
      </c>
      <c r="H13" s="519" t="s">
        <v>57</v>
      </c>
      <c r="I13" s="728"/>
      <c r="J13" s="179"/>
      <c r="K13" s="179"/>
      <c r="M13" s="182" t="s">
        <v>84</v>
      </c>
    </row>
    <row r="14" spans="2:14" ht="30" customHeight="1" x14ac:dyDescent="0.2">
      <c r="B14" s="224" t="s">
        <v>256</v>
      </c>
      <c r="C14" s="729" t="s">
        <v>309</v>
      </c>
      <c r="D14" s="730"/>
      <c r="E14" s="730"/>
      <c r="F14" s="730"/>
      <c r="G14" s="730"/>
      <c r="H14" s="730"/>
      <c r="I14" s="731"/>
      <c r="J14" s="183"/>
      <c r="K14" s="183"/>
      <c r="M14" s="182" t="s">
        <v>86</v>
      </c>
      <c r="N14" s="176"/>
    </row>
    <row r="15" spans="2:14" ht="30.75" customHeight="1" x14ac:dyDescent="0.2">
      <c r="B15" s="224" t="s">
        <v>257</v>
      </c>
      <c r="C15" s="520" t="s">
        <v>310</v>
      </c>
      <c r="D15" s="520"/>
      <c r="E15" s="520"/>
      <c r="F15" s="520"/>
      <c r="G15" s="520"/>
      <c r="H15" s="520"/>
      <c r="I15" s="521"/>
      <c r="J15" s="184"/>
      <c r="K15" s="184"/>
      <c r="M15" s="182" t="s">
        <v>88</v>
      </c>
      <c r="N15" s="176"/>
    </row>
    <row r="16" spans="2:14" ht="20.25" customHeight="1" x14ac:dyDescent="0.2">
      <c r="B16" s="224" t="s">
        <v>258</v>
      </c>
      <c r="C16" s="517" t="s">
        <v>327</v>
      </c>
      <c r="D16" s="517"/>
      <c r="E16" s="517"/>
      <c r="F16" s="517"/>
      <c r="G16" s="517"/>
      <c r="H16" s="517"/>
      <c r="I16" s="518"/>
      <c r="J16" s="185"/>
      <c r="K16" s="185"/>
      <c r="M16" s="182"/>
      <c r="N16" s="176"/>
    </row>
    <row r="17" spans="2:14" ht="30.75" customHeight="1" x14ac:dyDescent="0.2">
      <c r="B17" s="224" t="s">
        <v>259</v>
      </c>
      <c r="C17" s="519" t="s">
        <v>152</v>
      </c>
      <c r="D17" s="538"/>
      <c r="E17" s="538"/>
      <c r="F17" s="538"/>
      <c r="G17" s="538"/>
      <c r="H17" s="538"/>
      <c r="I17" s="539"/>
      <c r="J17" s="186"/>
      <c r="K17" s="186"/>
      <c r="M17" s="182" t="s">
        <v>91</v>
      </c>
      <c r="N17" s="176"/>
    </row>
    <row r="18" spans="2:14" ht="18" customHeight="1" x14ac:dyDescent="0.2">
      <c r="B18" s="540" t="s">
        <v>265</v>
      </c>
      <c r="C18" s="541" t="s">
        <v>237</v>
      </c>
      <c r="D18" s="541"/>
      <c r="E18" s="541"/>
      <c r="F18" s="542" t="s">
        <v>238</v>
      </c>
      <c r="G18" s="542"/>
      <c r="H18" s="542"/>
      <c r="I18" s="543"/>
      <c r="J18" s="187"/>
      <c r="K18" s="187"/>
      <c r="M18" s="182" t="s">
        <v>79</v>
      </c>
      <c r="N18" s="176"/>
    </row>
    <row r="19" spans="2:14" ht="39.75" customHeight="1" x14ac:dyDescent="0.2">
      <c r="B19" s="540"/>
      <c r="C19" s="517" t="s">
        <v>312</v>
      </c>
      <c r="D19" s="517"/>
      <c r="E19" s="517"/>
      <c r="F19" s="517" t="s">
        <v>313</v>
      </c>
      <c r="G19" s="517"/>
      <c r="H19" s="517"/>
      <c r="I19" s="518"/>
      <c r="J19" s="185"/>
      <c r="K19" s="185"/>
      <c r="M19" s="182" t="s">
        <v>95</v>
      </c>
      <c r="N19" s="176"/>
    </row>
    <row r="20" spans="2:14" ht="39.75" customHeight="1" x14ac:dyDescent="0.2">
      <c r="B20" s="224" t="s">
        <v>266</v>
      </c>
      <c r="C20" s="544" t="s">
        <v>314</v>
      </c>
      <c r="D20" s="545"/>
      <c r="E20" s="546"/>
      <c r="F20" s="547" t="s">
        <v>314</v>
      </c>
      <c r="G20" s="547"/>
      <c r="H20" s="547"/>
      <c r="I20" s="548"/>
      <c r="J20" s="179"/>
      <c r="K20" s="179"/>
      <c r="M20" s="182"/>
      <c r="N20" s="176"/>
    </row>
    <row r="21" spans="2:14" ht="361.15" customHeight="1" x14ac:dyDescent="0.2">
      <c r="B21" s="224" t="s">
        <v>267</v>
      </c>
      <c r="C21" s="549" t="s">
        <v>341</v>
      </c>
      <c r="D21" s="550"/>
      <c r="E21" s="551"/>
      <c r="F21" s="732" t="s">
        <v>340</v>
      </c>
      <c r="G21" s="733"/>
      <c r="H21" s="733"/>
      <c r="I21" s="734"/>
      <c r="J21" s="184"/>
      <c r="K21" s="184"/>
      <c r="M21" s="188"/>
      <c r="N21" s="176"/>
    </row>
    <row r="22" spans="2:14" ht="23.25" customHeight="1" x14ac:dyDescent="0.2">
      <c r="B22" s="224" t="s">
        <v>268</v>
      </c>
      <c r="C22" s="532">
        <v>44197</v>
      </c>
      <c r="D22" s="555"/>
      <c r="E22" s="556"/>
      <c r="F22" s="178" t="s">
        <v>271</v>
      </c>
      <c r="G22" s="225">
        <v>0.1</v>
      </c>
      <c r="H22" s="178" t="s">
        <v>275</v>
      </c>
      <c r="I22" s="226">
        <v>0.1</v>
      </c>
      <c r="J22" s="189"/>
      <c r="K22" s="189"/>
      <c r="M22" s="188"/>
    </row>
    <row r="23" spans="2:14" ht="27" customHeight="1" x14ac:dyDescent="0.2">
      <c r="B23" s="224" t="s">
        <v>269</v>
      </c>
      <c r="C23" s="532">
        <v>44561</v>
      </c>
      <c r="D23" s="533"/>
      <c r="E23" s="534"/>
      <c r="F23" s="178" t="s">
        <v>272</v>
      </c>
      <c r="G23" s="535">
        <v>0.3</v>
      </c>
      <c r="H23" s="536"/>
      <c r="I23" s="537"/>
      <c r="J23" s="190"/>
      <c r="K23" s="190"/>
      <c r="M23" s="188"/>
    </row>
    <row r="24" spans="2:14" ht="30.75" customHeight="1" x14ac:dyDescent="0.2">
      <c r="B24" s="231" t="s">
        <v>270</v>
      </c>
      <c r="C24" s="557" t="s">
        <v>326</v>
      </c>
      <c r="D24" s="558"/>
      <c r="E24" s="559"/>
      <c r="F24" s="227" t="s">
        <v>274</v>
      </c>
      <c r="G24" s="560" t="s">
        <v>223</v>
      </c>
      <c r="H24" s="533"/>
      <c r="I24" s="561"/>
      <c r="J24" s="187"/>
      <c r="K24" s="187"/>
      <c r="M24" s="188"/>
    </row>
    <row r="25" spans="2:14" ht="22.5" customHeight="1" x14ac:dyDescent="0.2">
      <c r="B25" s="513" t="s">
        <v>235</v>
      </c>
      <c r="C25" s="514"/>
      <c r="D25" s="514"/>
      <c r="E25" s="514"/>
      <c r="F25" s="514"/>
      <c r="G25" s="514"/>
      <c r="H25" s="514"/>
      <c r="I25" s="515"/>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28">
        <f>0.0833*$G$23</f>
        <v>2.4989999999999998E-2</v>
      </c>
      <c r="D27" s="228">
        <v>2.4900000000000002E-2</v>
      </c>
      <c r="E27" s="263">
        <f>IF(OR(C27=0,C27=""),0,D27/C27)</f>
        <v>0.99639855942376965</v>
      </c>
      <c r="F27" s="580">
        <f>SUM(C27:C38)</f>
        <v>0.29999999999999993</v>
      </c>
      <c r="G27" s="580">
        <f>SUM(D27:D38)</f>
        <v>7.4789999999999995E-2</v>
      </c>
      <c r="H27" s="264">
        <f>+(D27*100%)/$G$23</f>
        <v>8.3000000000000004E-2</v>
      </c>
      <c r="I27" s="614">
        <f>G27+I22</f>
        <v>0.17479</v>
      </c>
      <c r="J27" s="185"/>
      <c r="K27" s="185"/>
      <c r="M27" s="188"/>
    </row>
    <row r="28" spans="2:14" ht="15.6" customHeight="1" x14ac:dyDescent="0.2">
      <c r="B28" s="191" t="s">
        <v>114</v>
      </c>
      <c r="C28" s="228">
        <f t="shared" ref="C28:D34" si="0">0.0833*$G$23</f>
        <v>2.4989999999999998E-2</v>
      </c>
      <c r="D28" s="228">
        <v>2.4900000000000002E-2</v>
      </c>
      <c r="E28" s="263">
        <f t="shared" ref="E28:E38" si="1">IF(OR(C28=0,C28=""),0,D28/C28)</f>
        <v>0.99639855942376965</v>
      </c>
      <c r="F28" s="581"/>
      <c r="G28" s="581"/>
      <c r="H28" s="264">
        <f>+IF(D28="","",((D28*100%)/$G$23)+H27)</f>
        <v>0.16600000000000001</v>
      </c>
      <c r="I28" s="615"/>
      <c r="J28" s="185"/>
      <c r="K28" s="185"/>
      <c r="M28" s="188"/>
    </row>
    <row r="29" spans="2:14" ht="15.6" customHeight="1" x14ac:dyDescent="0.2">
      <c r="B29" s="191" t="s">
        <v>115</v>
      </c>
      <c r="C29" s="228">
        <f t="shared" si="0"/>
        <v>2.4989999999999998E-2</v>
      </c>
      <c r="D29" s="228">
        <f t="shared" si="0"/>
        <v>2.4989999999999998E-2</v>
      </c>
      <c r="E29" s="263">
        <f t="shared" si="1"/>
        <v>1</v>
      </c>
      <c r="F29" s="581"/>
      <c r="G29" s="581"/>
      <c r="H29" s="264">
        <f t="shared" ref="H29:H38" si="2">+IF(D29="","",((D29*100%)/$G$23)+H28)</f>
        <v>0.24930000000000002</v>
      </c>
      <c r="I29" s="615"/>
      <c r="J29" s="185"/>
      <c r="K29" s="185"/>
      <c r="M29" s="188"/>
    </row>
    <row r="30" spans="2:14" ht="15.6" customHeight="1" x14ac:dyDescent="0.2">
      <c r="B30" s="191" t="s">
        <v>116</v>
      </c>
      <c r="C30" s="228">
        <f t="shared" si="0"/>
        <v>2.4989999999999998E-2</v>
      </c>
      <c r="D30" s="228"/>
      <c r="E30" s="263">
        <f t="shared" si="1"/>
        <v>0</v>
      </c>
      <c r="F30" s="581"/>
      <c r="G30" s="581"/>
      <c r="H30" s="264" t="str">
        <f t="shared" si="2"/>
        <v/>
      </c>
      <c r="I30" s="615"/>
      <c r="J30" s="185"/>
      <c r="K30" s="185"/>
      <c r="M30" s="188"/>
    </row>
    <row r="31" spans="2:14" ht="15.6" customHeight="1" x14ac:dyDescent="0.2">
      <c r="B31" s="191" t="s">
        <v>117</v>
      </c>
      <c r="C31" s="228">
        <f t="shared" si="0"/>
        <v>2.4989999999999998E-2</v>
      </c>
      <c r="D31" s="228"/>
      <c r="E31" s="263">
        <f t="shared" si="1"/>
        <v>0</v>
      </c>
      <c r="F31" s="581"/>
      <c r="G31" s="581"/>
      <c r="H31" s="264" t="str">
        <f t="shared" si="2"/>
        <v/>
      </c>
      <c r="I31" s="615"/>
      <c r="J31" s="185"/>
      <c r="K31" s="185"/>
      <c r="M31" s="188"/>
    </row>
    <row r="32" spans="2:14" ht="15.6" customHeight="1" x14ac:dyDescent="0.2">
      <c r="B32" s="191" t="s">
        <v>118</v>
      </c>
      <c r="C32" s="228">
        <f t="shared" si="0"/>
        <v>2.4989999999999998E-2</v>
      </c>
      <c r="D32" s="228"/>
      <c r="E32" s="263">
        <f t="shared" si="1"/>
        <v>0</v>
      </c>
      <c r="F32" s="581"/>
      <c r="G32" s="581"/>
      <c r="H32" s="264" t="str">
        <f t="shared" si="2"/>
        <v/>
      </c>
      <c r="I32" s="615"/>
      <c r="J32" s="185"/>
      <c r="K32" s="185"/>
      <c r="M32" s="188"/>
    </row>
    <row r="33" spans="2:11" ht="19.5" customHeight="1" x14ac:dyDescent="0.2">
      <c r="B33" s="191" t="s">
        <v>119</v>
      </c>
      <c r="C33" s="228">
        <f t="shared" si="0"/>
        <v>2.4989999999999998E-2</v>
      </c>
      <c r="D33" s="228"/>
      <c r="E33" s="263">
        <f t="shared" si="1"/>
        <v>0</v>
      </c>
      <c r="F33" s="581"/>
      <c r="G33" s="581"/>
      <c r="H33" s="264" t="str">
        <f t="shared" si="2"/>
        <v/>
      </c>
      <c r="I33" s="615"/>
      <c r="J33" s="195"/>
      <c r="K33" s="195"/>
    </row>
    <row r="34" spans="2:11" ht="19.5" customHeight="1" x14ac:dyDescent="0.2">
      <c r="B34" s="191" t="s">
        <v>120</v>
      </c>
      <c r="C34" s="228">
        <f t="shared" si="0"/>
        <v>2.4989999999999998E-2</v>
      </c>
      <c r="D34" s="228"/>
      <c r="E34" s="263">
        <f t="shared" si="1"/>
        <v>0</v>
      </c>
      <c r="F34" s="581"/>
      <c r="G34" s="581"/>
      <c r="H34" s="264" t="str">
        <f t="shared" si="2"/>
        <v/>
      </c>
      <c r="I34" s="615"/>
      <c r="J34" s="195"/>
      <c r="K34" s="195"/>
    </row>
    <row r="35" spans="2:11" ht="19.5" customHeight="1" x14ac:dyDescent="0.2">
      <c r="B35" s="191" t="s">
        <v>121</v>
      </c>
      <c r="C35" s="228">
        <f>0.0834*$G$23</f>
        <v>2.5020000000000001E-2</v>
      </c>
      <c r="D35" s="228"/>
      <c r="E35" s="263">
        <f t="shared" si="1"/>
        <v>0</v>
      </c>
      <c r="F35" s="581"/>
      <c r="G35" s="581"/>
      <c r="H35" s="264" t="str">
        <f t="shared" si="2"/>
        <v/>
      </c>
      <c r="I35" s="615"/>
      <c r="J35" s="195"/>
      <c r="K35" s="195"/>
    </row>
    <row r="36" spans="2:11" ht="19.5" customHeight="1" x14ac:dyDescent="0.2">
      <c r="B36" s="191" t="s">
        <v>122</v>
      </c>
      <c r="C36" s="228">
        <f>0.0834*$G$23</f>
        <v>2.5020000000000001E-2</v>
      </c>
      <c r="D36" s="228"/>
      <c r="E36" s="263">
        <f t="shared" si="1"/>
        <v>0</v>
      </c>
      <c r="F36" s="581"/>
      <c r="G36" s="581"/>
      <c r="H36" s="264" t="str">
        <f t="shared" si="2"/>
        <v/>
      </c>
      <c r="I36" s="615"/>
      <c r="J36" s="195"/>
      <c r="K36" s="195"/>
    </row>
    <row r="37" spans="2:11" ht="19.5" customHeight="1" x14ac:dyDescent="0.2">
      <c r="B37" s="191" t="s">
        <v>123</v>
      </c>
      <c r="C37" s="228">
        <f>0.0834*$G$23</f>
        <v>2.5020000000000001E-2</v>
      </c>
      <c r="D37" s="228"/>
      <c r="E37" s="263">
        <f t="shared" si="1"/>
        <v>0</v>
      </c>
      <c r="F37" s="581"/>
      <c r="G37" s="581"/>
      <c r="H37" s="264" t="str">
        <f t="shared" si="2"/>
        <v/>
      </c>
      <c r="I37" s="615"/>
      <c r="J37" s="195"/>
      <c r="K37" s="195"/>
    </row>
    <row r="38" spans="2:11" ht="19.5" customHeight="1" x14ac:dyDescent="0.2">
      <c r="B38" s="191" t="s">
        <v>124</v>
      </c>
      <c r="C38" s="228">
        <f>0.0834*$G$23</f>
        <v>2.5020000000000001E-2</v>
      </c>
      <c r="D38" s="228"/>
      <c r="E38" s="263">
        <f t="shared" si="1"/>
        <v>0</v>
      </c>
      <c r="F38" s="582"/>
      <c r="G38" s="582"/>
      <c r="H38" s="264" t="str">
        <f t="shared" si="2"/>
        <v/>
      </c>
      <c r="I38" s="616"/>
      <c r="J38" s="195"/>
      <c r="K38" s="195"/>
    </row>
    <row r="39" spans="2:11" ht="52.5" customHeight="1" x14ac:dyDescent="0.2">
      <c r="B39" s="229" t="s">
        <v>277</v>
      </c>
      <c r="C39" s="562" t="s">
        <v>387</v>
      </c>
      <c r="D39" s="563"/>
      <c r="E39" s="563"/>
      <c r="F39" s="563"/>
      <c r="G39" s="563"/>
      <c r="H39" s="563"/>
      <c r="I39" s="564"/>
      <c r="J39" s="196"/>
      <c r="K39" s="196"/>
    </row>
    <row r="40" spans="2:11" ht="34.5" customHeight="1" x14ac:dyDescent="0.2">
      <c r="B40" s="565"/>
      <c r="C40" s="566"/>
      <c r="D40" s="566"/>
      <c r="E40" s="566"/>
      <c r="F40" s="566"/>
      <c r="G40" s="566"/>
      <c r="H40" s="566"/>
      <c r="I40" s="567"/>
      <c r="J40" s="175"/>
      <c r="K40" s="175"/>
    </row>
    <row r="41" spans="2:11" ht="34.5" customHeight="1" x14ac:dyDescent="0.2">
      <c r="B41" s="568"/>
      <c r="C41" s="569"/>
      <c r="D41" s="569"/>
      <c r="E41" s="569"/>
      <c r="F41" s="569"/>
      <c r="G41" s="569"/>
      <c r="H41" s="569"/>
      <c r="I41" s="570"/>
      <c r="J41" s="196"/>
      <c r="K41" s="196"/>
    </row>
    <row r="42" spans="2:11" ht="34.5" customHeight="1" x14ac:dyDescent="0.2">
      <c r="B42" s="568"/>
      <c r="C42" s="569"/>
      <c r="D42" s="569"/>
      <c r="E42" s="569"/>
      <c r="F42" s="569"/>
      <c r="G42" s="569"/>
      <c r="H42" s="569"/>
      <c r="I42" s="570"/>
      <c r="J42" s="196"/>
      <c r="K42" s="196"/>
    </row>
    <row r="43" spans="2:11" ht="34.5" customHeight="1" x14ac:dyDescent="0.2">
      <c r="B43" s="568"/>
      <c r="C43" s="569"/>
      <c r="D43" s="569"/>
      <c r="E43" s="569"/>
      <c r="F43" s="569"/>
      <c r="G43" s="569"/>
      <c r="H43" s="569"/>
      <c r="I43" s="570"/>
      <c r="J43" s="196"/>
      <c r="K43" s="196"/>
    </row>
    <row r="44" spans="2:11" ht="34.5" customHeight="1" x14ac:dyDescent="0.2">
      <c r="B44" s="571"/>
      <c r="C44" s="572"/>
      <c r="D44" s="572"/>
      <c r="E44" s="572"/>
      <c r="F44" s="572"/>
      <c r="G44" s="572"/>
      <c r="H44" s="572"/>
      <c r="I44" s="573"/>
      <c r="J44" s="174"/>
      <c r="K44" s="174"/>
    </row>
    <row r="45" spans="2:11" ht="409.6" customHeight="1" x14ac:dyDescent="0.2">
      <c r="B45" s="224" t="s">
        <v>278</v>
      </c>
      <c r="C45" s="735" t="s">
        <v>399</v>
      </c>
      <c r="D45" s="736"/>
      <c r="E45" s="736"/>
      <c r="F45" s="736"/>
      <c r="G45" s="736"/>
      <c r="H45" s="736"/>
      <c r="I45" s="737"/>
      <c r="J45" s="197"/>
      <c r="K45" s="197"/>
    </row>
    <row r="46" spans="2:11" ht="64.900000000000006" customHeight="1" x14ac:dyDescent="0.2">
      <c r="B46" s="224" t="s">
        <v>279</v>
      </c>
      <c r="C46" s="591" t="s">
        <v>380</v>
      </c>
      <c r="D46" s="592"/>
      <c r="E46" s="592"/>
      <c r="F46" s="592"/>
      <c r="G46" s="592"/>
      <c r="H46" s="592"/>
      <c r="I46" s="593"/>
      <c r="J46" s="197"/>
      <c r="K46" s="197"/>
    </row>
    <row r="47" spans="2:11" ht="66" customHeight="1" x14ac:dyDescent="0.2">
      <c r="B47" s="230" t="s">
        <v>280</v>
      </c>
      <c r="C47" s="594" t="s">
        <v>371</v>
      </c>
      <c r="D47" s="595"/>
      <c r="E47" s="595"/>
      <c r="F47" s="595"/>
      <c r="G47" s="595"/>
      <c r="H47" s="595"/>
      <c r="I47" s="596"/>
      <c r="J47" s="197"/>
      <c r="K47" s="197"/>
    </row>
    <row r="48" spans="2:11" ht="22.5" customHeight="1" x14ac:dyDescent="0.2">
      <c r="B48" s="513" t="s">
        <v>236</v>
      </c>
      <c r="C48" s="514"/>
      <c r="D48" s="514"/>
      <c r="E48" s="514"/>
      <c r="F48" s="514"/>
      <c r="G48" s="514"/>
      <c r="H48" s="514"/>
      <c r="I48" s="515"/>
      <c r="J48" s="197"/>
      <c r="K48" s="197"/>
    </row>
    <row r="49" spans="2:11" ht="22.5" customHeight="1" x14ac:dyDescent="0.2">
      <c r="B49" s="587" t="s">
        <v>281</v>
      </c>
      <c r="C49" s="218" t="s">
        <v>282</v>
      </c>
      <c r="D49" s="589" t="s">
        <v>283</v>
      </c>
      <c r="E49" s="589"/>
      <c r="F49" s="589"/>
      <c r="G49" s="589" t="s">
        <v>284</v>
      </c>
      <c r="H49" s="589"/>
      <c r="I49" s="590"/>
      <c r="J49" s="198"/>
      <c r="K49" s="198"/>
    </row>
    <row r="50" spans="2:11" ht="30.75" customHeight="1" x14ac:dyDescent="0.2">
      <c r="B50" s="588"/>
      <c r="C50" s="232"/>
      <c r="D50" s="623"/>
      <c r="E50" s="623"/>
      <c r="F50" s="623"/>
      <c r="G50" s="623"/>
      <c r="H50" s="623"/>
      <c r="I50" s="624"/>
      <c r="J50" s="198"/>
      <c r="K50" s="198"/>
    </row>
    <row r="51" spans="2:11" ht="32.25" customHeight="1" x14ac:dyDescent="0.2">
      <c r="B51" s="233" t="s">
        <v>285</v>
      </c>
      <c r="C51" s="652" t="s">
        <v>343</v>
      </c>
      <c r="D51" s="652"/>
      <c r="E51" s="652"/>
      <c r="F51" s="652"/>
      <c r="G51" s="652"/>
      <c r="H51" s="652"/>
      <c r="I51" s="653"/>
      <c r="J51" s="200"/>
      <c r="K51" s="200"/>
    </row>
    <row r="52" spans="2:11" ht="28.5" customHeight="1" x14ac:dyDescent="0.2">
      <c r="B52" s="234" t="s">
        <v>286</v>
      </c>
      <c r="C52" s="652" t="s">
        <v>344</v>
      </c>
      <c r="D52" s="652"/>
      <c r="E52" s="652"/>
      <c r="F52" s="652"/>
      <c r="G52" s="652"/>
      <c r="H52" s="652"/>
      <c r="I52" s="653"/>
      <c r="J52" s="200"/>
      <c r="K52" s="200"/>
    </row>
    <row r="53" spans="2:11" ht="30" customHeight="1" x14ac:dyDescent="0.2">
      <c r="B53" s="230" t="s">
        <v>287</v>
      </c>
      <c r="C53" s="652" t="s">
        <v>345</v>
      </c>
      <c r="D53" s="652"/>
      <c r="E53" s="652"/>
      <c r="F53" s="652"/>
      <c r="G53" s="652"/>
      <c r="H53" s="652"/>
      <c r="I53" s="653"/>
      <c r="J53" s="201"/>
      <c r="K53" s="201"/>
    </row>
    <row r="54" spans="2:11" ht="31.5" customHeight="1" thickBot="1" x14ac:dyDescent="0.25">
      <c r="B54" s="211" t="s">
        <v>288</v>
      </c>
      <c r="C54" s="738"/>
      <c r="D54" s="739"/>
      <c r="E54" s="739"/>
      <c r="F54" s="739"/>
      <c r="G54" s="739"/>
      <c r="H54" s="739"/>
      <c r="I54" s="740"/>
      <c r="J54" s="202"/>
      <c r="K54" s="202"/>
    </row>
    <row r="55" spans="2:11" x14ac:dyDescent="0.2">
      <c r="B55" s="203"/>
      <c r="C55" s="204"/>
      <c r="D55" s="204"/>
      <c r="E55" s="205"/>
      <c r="F55" s="205"/>
      <c r="G55" s="212"/>
      <c r="H55" s="207"/>
      <c r="I55" s="204"/>
      <c r="J55" s="202"/>
      <c r="K55" s="202"/>
    </row>
    <row r="56" spans="2:11" x14ac:dyDescent="0.2">
      <c r="B56" s="203"/>
      <c r="C56" s="204"/>
      <c r="D56" s="204"/>
      <c r="E56" s="205"/>
      <c r="F56" s="205"/>
      <c r="G56" s="212"/>
      <c r="H56" s="207"/>
      <c r="I56" s="204"/>
      <c r="J56" s="202"/>
      <c r="K56" s="202"/>
    </row>
    <row r="57" spans="2:11" x14ac:dyDescent="0.2">
      <c r="B57" s="203"/>
      <c r="C57" s="204"/>
      <c r="D57" s="204"/>
      <c r="E57" s="205"/>
      <c r="F57" s="205"/>
      <c r="G57" s="212"/>
      <c r="H57" s="207"/>
      <c r="I57" s="204"/>
      <c r="J57" s="202"/>
      <c r="K57" s="202"/>
    </row>
    <row r="58" spans="2:11" x14ac:dyDescent="0.2">
      <c r="B58" s="203"/>
      <c r="C58" s="204"/>
      <c r="D58" s="204"/>
      <c r="E58" s="205"/>
      <c r="F58" s="205"/>
      <c r="G58" s="212"/>
      <c r="H58" s="207"/>
      <c r="I58" s="204"/>
      <c r="J58" s="202"/>
      <c r="K58" s="202"/>
    </row>
    <row r="59" spans="2:1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sheetData>
  <sheetProtection algorithmName="SHA-512" hashValue="pEsbg8DlktIELrHtYbYsqq3RMaWtkLetqsGHZ0Bg8M+FtfnfqriKDqeO2mGkuWSiznXJgdWWWj8mrOuMS7Qccw==" saltValue="MmUvy48XmCk6nm3LD2mxG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5B76627-C89E-41E3-AB1B-261202073575}">
      <formula1>$N$11:$N$12</formula1>
    </dataValidation>
    <dataValidation type="list" allowBlank="1" showInputMessage="1" showErrorMessage="1" sqref="H13:I13" xr:uid="{564A4AFF-6A59-4F6C-AAF3-AEDDDF8D12BE}">
      <formula1>$N$5:$N$8</formula1>
    </dataValidation>
    <dataValidation type="list" allowBlank="1" showInputMessage="1" showErrorMessage="1" sqref="C9:F9" xr:uid="{2AA69A7B-E486-40B6-ACFF-D0DE5FD7574C}">
      <formula1>$M$6:$M$9</formula1>
    </dataValidation>
    <dataValidation type="list" allowBlank="1" showInputMessage="1" showErrorMessage="1" sqref="C24:E24" xr:uid="{E27D2EFE-1DA6-498B-8EF7-CA2C44421BDF}">
      <formula1>$M$12:$M$15</formula1>
    </dataValidation>
    <dataValidation type="list" allowBlank="1" showInputMessage="1" showErrorMessage="1" sqref="H12:I12" xr:uid="{00B38709-EA3E-4931-AC2F-582646218D8D}">
      <formula1>M17:M19</formula1>
    </dataValidation>
    <dataValidation type="list" showDropDown="1" showInputMessage="1" showErrorMessage="1" sqref="K12" xr:uid="{B131A374-4676-4EE4-906E-44CAFAAC5B7A}">
      <formula1>O17:O19</formula1>
    </dataValidation>
    <dataValidation type="list" allowBlank="1" showInputMessage="1" showErrorMessage="1" sqref="J10:K10" xr:uid="{25D86E89-C300-4909-B5DB-E6DEE92EEFCD}">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2A86-2E4A-416D-A697-A605E5896D75}">
  <sheetPr>
    <tabColor rgb="FF92D050"/>
  </sheetPr>
  <dimension ref="B1:X60"/>
  <sheetViews>
    <sheetView topLeftCell="B25" zoomScaleNormal="100" zoomScalePageLayoutView="85" workbookViewId="0">
      <selection activeCell="D27" sqref="D27"/>
    </sheetView>
  </sheetViews>
  <sheetFormatPr baseColWidth="10" defaultColWidth="10.85546875" defaultRowHeight="12.75" x14ac:dyDescent="0.2"/>
  <cols>
    <col min="1" max="1" width="1" style="173" customWidth="1"/>
    <col min="2" max="2" width="25.42578125" style="208" customWidth="1"/>
    <col min="3" max="3" width="14.42578125" style="173" customWidth="1"/>
    <col min="4" max="4" width="20.140625" style="173" customWidth="1"/>
    <col min="5" max="5" width="16.42578125" style="173" customWidth="1"/>
    <col min="6" max="6" width="25" style="173" customWidth="1"/>
    <col min="7" max="7" width="22" style="208" customWidth="1"/>
    <col min="8" max="8" width="20.42578125" style="173" customWidth="1"/>
    <col min="9" max="11" width="22.42578125" style="173" customWidth="1"/>
    <col min="12" max="24" width="10.85546875" style="171"/>
    <col min="25" max="16384" width="10.85546875" style="173"/>
  </cols>
  <sheetData>
    <row r="1" spans="2:14" ht="37.5" customHeight="1" x14ac:dyDescent="0.2">
      <c r="B1" s="501"/>
      <c r="C1" s="504" t="s">
        <v>25</v>
      </c>
      <c r="D1" s="504"/>
      <c r="E1" s="504"/>
      <c r="F1" s="504"/>
      <c r="G1" s="504"/>
      <c r="H1" s="504"/>
      <c r="I1" s="505"/>
      <c r="J1" s="170"/>
      <c r="K1" s="170"/>
      <c r="M1" s="172" t="s">
        <v>47</v>
      </c>
    </row>
    <row r="2" spans="2:14" ht="37.5" customHeight="1" x14ac:dyDescent="0.2">
      <c r="B2" s="502"/>
      <c r="C2" s="508" t="s">
        <v>239</v>
      </c>
      <c r="D2" s="508"/>
      <c r="E2" s="508"/>
      <c r="F2" s="508"/>
      <c r="G2" s="508"/>
      <c r="H2" s="508"/>
      <c r="I2" s="506"/>
      <c r="J2" s="170"/>
      <c r="K2" s="170"/>
      <c r="M2" s="172" t="s">
        <v>48</v>
      </c>
    </row>
    <row r="3" spans="2:14" ht="37.5" customHeight="1" thickBot="1" x14ac:dyDescent="0.25">
      <c r="B3" s="503"/>
      <c r="C3" s="509" t="s">
        <v>240</v>
      </c>
      <c r="D3" s="509"/>
      <c r="E3" s="509"/>
      <c r="F3" s="509" t="s">
        <v>241</v>
      </c>
      <c r="G3" s="509"/>
      <c r="H3" s="509"/>
      <c r="I3" s="507"/>
      <c r="J3" s="170"/>
      <c r="K3" s="170"/>
      <c r="M3" s="172" t="s">
        <v>50</v>
      </c>
    </row>
    <row r="4" spans="2:14" ht="23.25" customHeight="1" x14ac:dyDescent="0.2">
      <c r="B4" s="510"/>
      <c r="C4" s="511"/>
      <c r="D4" s="511"/>
      <c r="E4" s="511"/>
      <c r="F4" s="511"/>
      <c r="G4" s="511"/>
      <c r="H4" s="511"/>
      <c r="I4" s="512"/>
      <c r="J4" s="174"/>
      <c r="K4" s="174"/>
    </row>
    <row r="5" spans="2:14" ht="24" customHeight="1" x14ac:dyDescent="0.2">
      <c r="B5" s="513" t="s">
        <v>234</v>
      </c>
      <c r="C5" s="514"/>
      <c r="D5" s="514"/>
      <c r="E5" s="514"/>
      <c r="F5" s="514"/>
      <c r="G5" s="514"/>
      <c r="H5" s="514"/>
      <c r="I5" s="515"/>
      <c r="J5" s="175"/>
      <c r="K5" s="175"/>
      <c r="N5" s="176" t="s">
        <v>57</v>
      </c>
    </row>
    <row r="6" spans="2:14" ht="30.75" customHeight="1" x14ac:dyDescent="0.2">
      <c r="B6" s="224" t="s">
        <v>242</v>
      </c>
      <c r="C6" s="222">
        <v>6</v>
      </c>
      <c r="D6" s="516" t="s">
        <v>243</v>
      </c>
      <c r="E6" s="516"/>
      <c r="F6" s="517" t="str">
        <f>'[7]Proyecto 7550'!$N$60</f>
        <v>Realizar un diagnostico de fortalecimiento institucional que cumpla con las necesidades de los procesos transversales del IDPYBA</v>
      </c>
      <c r="G6" s="517"/>
      <c r="H6" s="517"/>
      <c r="I6" s="518"/>
      <c r="J6" s="177"/>
      <c r="K6" s="177"/>
      <c r="M6" s="172" t="s">
        <v>60</v>
      </c>
      <c r="N6" s="176" t="s">
        <v>61</v>
      </c>
    </row>
    <row r="7" spans="2:14" ht="30.75" customHeight="1" x14ac:dyDescent="0.2">
      <c r="B7" s="224" t="s">
        <v>244</v>
      </c>
      <c r="C7" s="222" t="s">
        <v>81</v>
      </c>
      <c r="D7" s="516" t="s">
        <v>245</v>
      </c>
      <c r="E7" s="516"/>
      <c r="F7" s="517" t="s">
        <v>298</v>
      </c>
      <c r="G7" s="517"/>
      <c r="H7" s="178" t="s">
        <v>246</v>
      </c>
      <c r="I7" s="223" t="s">
        <v>81</v>
      </c>
      <c r="J7" s="179"/>
      <c r="K7" s="179"/>
      <c r="M7" s="172"/>
      <c r="N7" s="176"/>
    </row>
    <row r="8" spans="2:14" ht="30.75" customHeight="1" x14ac:dyDescent="0.2">
      <c r="B8" s="224" t="s">
        <v>247</v>
      </c>
      <c r="C8" s="517" t="s">
        <v>289</v>
      </c>
      <c r="D8" s="517"/>
      <c r="E8" s="517"/>
      <c r="F8" s="517"/>
      <c r="G8" s="178" t="s">
        <v>248</v>
      </c>
      <c r="H8" s="522">
        <v>7550</v>
      </c>
      <c r="I8" s="523"/>
      <c r="J8" s="180"/>
      <c r="K8" s="180"/>
      <c r="M8" s="172" t="s">
        <v>69</v>
      </c>
      <c r="N8" s="176" t="s">
        <v>70</v>
      </c>
    </row>
    <row r="9" spans="2:14" ht="30.75" customHeight="1" x14ac:dyDescent="0.2">
      <c r="B9" s="224" t="s">
        <v>48</v>
      </c>
      <c r="C9" s="524" t="s">
        <v>60</v>
      </c>
      <c r="D9" s="524"/>
      <c r="E9" s="524"/>
      <c r="F9" s="524"/>
      <c r="G9" s="178" t="s">
        <v>249</v>
      </c>
      <c r="H9" s="525" t="s">
        <v>295</v>
      </c>
      <c r="I9" s="526"/>
      <c r="J9" s="181"/>
      <c r="K9" s="181"/>
      <c r="M9" s="182" t="s">
        <v>73</v>
      </c>
    </row>
    <row r="10" spans="2:14" ht="75.75" customHeight="1" x14ac:dyDescent="0.2">
      <c r="B10" s="224" t="s">
        <v>250</v>
      </c>
      <c r="C10" s="517" t="s">
        <v>373</v>
      </c>
      <c r="D10" s="517"/>
      <c r="E10" s="517"/>
      <c r="F10" s="517"/>
      <c r="G10" s="517"/>
      <c r="H10" s="517"/>
      <c r="I10" s="518"/>
      <c r="J10" s="183"/>
      <c r="K10" s="183"/>
      <c r="M10" s="182"/>
    </row>
    <row r="11" spans="2:14" ht="30.75" customHeight="1" x14ac:dyDescent="0.2">
      <c r="B11" s="224" t="s">
        <v>251</v>
      </c>
      <c r="C11" s="519" t="str">
        <f>'[7]Proyecto 7550'!$E$53</f>
        <v>Realizar el fortalecimiento institucional de la estructura orgánica y funcional de la SDA, IDIGER, JBB, E IDPYBA</v>
      </c>
      <c r="D11" s="519"/>
      <c r="E11" s="519"/>
      <c r="F11" s="519"/>
      <c r="G11" s="519"/>
      <c r="H11" s="519"/>
      <c r="I11" s="728"/>
      <c r="J11" s="179"/>
      <c r="K11" s="179"/>
      <c r="M11" s="182"/>
      <c r="N11" s="176" t="s">
        <v>76</v>
      </c>
    </row>
    <row r="12" spans="2:14" ht="30.75" customHeight="1" x14ac:dyDescent="0.2">
      <c r="B12" s="224" t="s">
        <v>254</v>
      </c>
      <c r="C12" s="527" t="s">
        <v>334</v>
      </c>
      <c r="D12" s="527"/>
      <c r="E12" s="527"/>
      <c r="F12" s="527"/>
      <c r="G12" s="178" t="s">
        <v>252</v>
      </c>
      <c r="H12" s="547" t="s">
        <v>91</v>
      </c>
      <c r="I12" s="548"/>
      <c r="J12" s="179"/>
      <c r="K12" s="179"/>
      <c r="M12" s="182" t="s">
        <v>80</v>
      </c>
      <c r="N12" s="176" t="s">
        <v>81</v>
      </c>
    </row>
    <row r="13" spans="2:14" ht="30.75" customHeight="1" x14ac:dyDescent="0.2">
      <c r="B13" s="224" t="s">
        <v>255</v>
      </c>
      <c r="C13" s="531" t="s">
        <v>346</v>
      </c>
      <c r="D13" s="531"/>
      <c r="E13" s="531"/>
      <c r="F13" s="531"/>
      <c r="G13" s="178" t="s">
        <v>253</v>
      </c>
      <c r="H13" s="519" t="s">
        <v>57</v>
      </c>
      <c r="I13" s="728"/>
      <c r="J13" s="179"/>
      <c r="K13" s="179"/>
      <c r="M13" s="182" t="s">
        <v>84</v>
      </c>
    </row>
    <row r="14" spans="2:14" ht="30" customHeight="1" x14ac:dyDescent="0.2">
      <c r="B14" s="224" t="s">
        <v>256</v>
      </c>
      <c r="C14" s="634" t="s">
        <v>328</v>
      </c>
      <c r="D14" s="634"/>
      <c r="E14" s="634"/>
      <c r="F14" s="634"/>
      <c r="G14" s="634"/>
      <c r="H14" s="634"/>
      <c r="I14" s="635"/>
      <c r="J14" s="183"/>
      <c r="K14" s="183"/>
      <c r="M14" s="182" t="s">
        <v>86</v>
      </c>
      <c r="N14" s="176"/>
    </row>
    <row r="15" spans="2:14" ht="30.75" customHeight="1" x14ac:dyDescent="0.2">
      <c r="B15" s="224" t="s">
        <v>257</v>
      </c>
      <c r="C15" s="520" t="s">
        <v>315</v>
      </c>
      <c r="D15" s="520"/>
      <c r="E15" s="520"/>
      <c r="F15" s="520"/>
      <c r="G15" s="520"/>
      <c r="H15" s="520"/>
      <c r="I15" s="521"/>
      <c r="J15" s="184"/>
      <c r="K15" s="184"/>
      <c r="M15" s="182" t="s">
        <v>88</v>
      </c>
      <c r="N15" s="176"/>
    </row>
    <row r="16" spans="2:14" ht="20.25" customHeight="1" x14ac:dyDescent="0.2">
      <c r="B16" s="224" t="s">
        <v>258</v>
      </c>
      <c r="C16" s="517" t="s">
        <v>311</v>
      </c>
      <c r="D16" s="517"/>
      <c r="E16" s="517"/>
      <c r="F16" s="517"/>
      <c r="G16" s="517"/>
      <c r="H16" s="517"/>
      <c r="I16" s="518"/>
      <c r="J16" s="185"/>
      <c r="K16" s="185"/>
      <c r="M16" s="182"/>
      <c r="N16" s="176"/>
    </row>
    <row r="17" spans="2:14" ht="30.75" customHeight="1" x14ac:dyDescent="0.2">
      <c r="B17" s="224" t="s">
        <v>259</v>
      </c>
      <c r="C17" s="519" t="s">
        <v>151</v>
      </c>
      <c r="D17" s="538"/>
      <c r="E17" s="538"/>
      <c r="F17" s="538"/>
      <c r="G17" s="538"/>
      <c r="H17" s="538"/>
      <c r="I17" s="539"/>
      <c r="J17" s="186"/>
      <c r="K17" s="186"/>
      <c r="M17" s="182" t="s">
        <v>91</v>
      </c>
      <c r="N17" s="176"/>
    </row>
    <row r="18" spans="2:14" ht="18" customHeight="1" x14ac:dyDescent="0.2">
      <c r="B18" s="540" t="s">
        <v>265</v>
      </c>
      <c r="C18" s="541" t="s">
        <v>237</v>
      </c>
      <c r="D18" s="541"/>
      <c r="E18" s="541"/>
      <c r="F18" s="542" t="s">
        <v>238</v>
      </c>
      <c r="G18" s="542"/>
      <c r="H18" s="542"/>
      <c r="I18" s="543"/>
      <c r="J18" s="187"/>
      <c r="K18" s="187"/>
      <c r="M18" s="182" t="s">
        <v>79</v>
      </c>
      <c r="N18" s="176"/>
    </row>
    <row r="19" spans="2:14" ht="39.75" customHeight="1" x14ac:dyDescent="0.2">
      <c r="B19" s="540"/>
      <c r="C19" s="552" t="s">
        <v>296</v>
      </c>
      <c r="D19" s="553"/>
      <c r="E19" s="637"/>
      <c r="F19" s="517" t="str">
        <f>C19</f>
        <v>Actividades que se ejecutaron para la implementacion de los procesos transversales</v>
      </c>
      <c r="G19" s="517"/>
      <c r="H19" s="517"/>
      <c r="I19" s="518"/>
      <c r="J19" s="185"/>
      <c r="K19" s="185"/>
      <c r="M19" s="182" t="s">
        <v>95</v>
      </c>
      <c r="N19" s="176"/>
    </row>
    <row r="20" spans="2:14" ht="39.75" customHeight="1" x14ac:dyDescent="0.2">
      <c r="B20" s="224" t="s">
        <v>266</v>
      </c>
      <c r="C20" s="552" t="s">
        <v>297</v>
      </c>
      <c r="D20" s="553"/>
      <c r="E20" s="637"/>
      <c r="F20" s="517" t="str">
        <f>C20</f>
        <v>Cantidad de actividades que se ejecutaron para la implementacion de los procesos transversales</v>
      </c>
      <c r="G20" s="517"/>
      <c r="H20" s="517"/>
      <c r="I20" s="518"/>
      <c r="J20" s="179"/>
      <c r="K20" s="179"/>
      <c r="M20" s="182"/>
      <c r="N20" s="176"/>
    </row>
    <row r="21" spans="2:14" ht="30" customHeight="1" x14ac:dyDescent="0.2">
      <c r="B21" s="224" t="s">
        <v>267</v>
      </c>
      <c r="C21" s="741"/>
      <c r="D21" s="742"/>
      <c r="E21" s="743"/>
      <c r="F21" s="560"/>
      <c r="G21" s="533"/>
      <c r="H21" s="533"/>
      <c r="I21" s="561"/>
      <c r="J21" s="184"/>
      <c r="K21" s="184"/>
      <c r="M21" s="188"/>
      <c r="N21" s="176"/>
    </row>
    <row r="22" spans="2:14" ht="23.25" customHeight="1" x14ac:dyDescent="0.2">
      <c r="B22" s="224" t="s">
        <v>268</v>
      </c>
      <c r="C22" s="532">
        <v>44197</v>
      </c>
      <c r="D22" s="555"/>
      <c r="E22" s="556"/>
      <c r="F22" s="178" t="s">
        <v>271</v>
      </c>
      <c r="G22" s="265">
        <v>8.7999999999999995E-2</v>
      </c>
      <c r="H22" s="178" t="s">
        <v>275</v>
      </c>
      <c r="I22" s="266">
        <v>8.7999999999999995E-2</v>
      </c>
      <c r="J22" s="189"/>
      <c r="K22" s="189"/>
      <c r="M22" s="188"/>
    </row>
    <row r="23" spans="2:14" ht="27" customHeight="1" x14ac:dyDescent="0.2">
      <c r="B23" s="224" t="s">
        <v>269</v>
      </c>
      <c r="C23" s="532">
        <v>44561</v>
      </c>
      <c r="D23" s="533"/>
      <c r="E23" s="534"/>
      <c r="F23" s="178" t="s">
        <v>272</v>
      </c>
      <c r="G23" s="535">
        <v>0.3</v>
      </c>
      <c r="H23" s="536"/>
      <c r="I23" s="537"/>
      <c r="J23" s="190"/>
      <c r="K23" s="190"/>
      <c r="M23" s="188"/>
    </row>
    <row r="24" spans="2:14" ht="30.75" customHeight="1" x14ac:dyDescent="0.2">
      <c r="B24" s="231" t="s">
        <v>270</v>
      </c>
      <c r="C24" s="557" t="s">
        <v>326</v>
      </c>
      <c r="D24" s="558"/>
      <c r="E24" s="559"/>
      <c r="F24" s="227" t="s">
        <v>274</v>
      </c>
      <c r="G24" s="560" t="s">
        <v>223</v>
      </c>
      <c r="H24" s="533"/>
      <c r="I24" s="561"/>
      <c r="J24" s="187"/>
      <c r="K24" s="187"/>
      <c r="M24" s="188"/>
    </row>
    <row r="25" spans="2:14" ht="22.5" customHeight="1" x14ac:dyDescent="0.2">
      <c r="B25" s="513" t="s">
        <v>235</v>
      </c>
      <c r="C25" s="514"/>
      <c r="D25" s="514"/>
      <c r="E25" s="514"/>
      <c r="F25" s="514"/>
      <c r="G25" s="514"/>
      <c r="H25" s="514"/>
      <c r="I25" s="515"/>
      <c r="J25" s="175"/>
      <c r="K25" s="175"/>
      <c r="M25" s="188"/>
    </row>
    <row r="26" spans="2:14" ht="43.5" customHeight="1" x14ac:dyDescent="0.2">
      <c r="B26" s="191" t="s">
        <v>105</v>
      </c>
      <c r="C26" s="221" t="s">
        <v>261</v>
      </c>
      <c r="D26" s="221" t="s">
        <v>260</v>
      </c>
      <c r="E26" s="192" t="s">
        <v>264</v>
      </c>
      <c r="F26" s="221" t="s">
        <v>263</v>
      </c>
      <c r="G26" s="221" t="s">
        <v>262</v>
      </c>
      <c r="H26" s="192" t="s">
        <v>276</v>
      </c>
      <c r="I26" s="193" t="s">
        <v>273</v>
      </c>
      <c r="J26" s="185"/>
      <c r="K26" s="185"/>
      <c r="M26" s="188"/>
    </row>
    <row r="27" spans="2:14" ht="15.6" customHeight="1" x14ac:dyDescent="0.2">
      <c r="B27" s="191" t="s">
        <v>329</v>
      </c>
      <c r="C27" s="228">
        <f>0.0846*$G$23</f>
        <v>2.5379999999999996E-2</v>
      </c>
      <c r="D27" s="228">
        <v>2.52E-2</v>
      </c>
      <c r="E27" s="263">
        <f>IF(OR(C27=0,C27=""),0,D27/C27)</f>
        <v>0.99290780141843982</v>
      </c>
      <c r="F27" s="744">
        <f>SUM(C27:C38)</f>
        <v>0.29153999999999997</v>
      </c>
      <c r="G27" s="580">
        <f>SUM(D27:D38)</f>
        <v>5.8560000000000001E-2</v>
      </c>
      <c r="H27" s="264">
        <f>+(D27*100%)/$G$23</f>
        <v>8.4000000000000005E-2</v>
      </c>
      <c r="I27" s="715">
        <f>G27+I22</f>
        <v>0.14656</v>
      </c>
      <c r="J27" s="185"/>
      <c r="K27" s="293"/>
      <c r="M27" s="188"/>
    </row>
    <row r="28" spans="2:14" ht="15.6" customHeight="1" x14ac:dyDescent="0.2">
      <c r="B28" s="191" t="s">
        <v>114</v>
      </c>
      <c r="C28" s="228">
        <f>0.0629*$G$23</f>
        <v>1.8869999999999998E-2</v>
      </c>
      <c r="D28" s="228">
        <f>0.0601*G23</f>
        <v>1.8030000000000001E-2</v>
      </c>
      <c r="E28" s="263">
        <f t="shared" ref="E28:E38" si="0">IF(OR(C28=0,C28=""),0,D28/C28)</f>
        <v>0.95548489666136738</v>
      </c>
      <c r="F28" s="745"/>
      <c r="G28" s="581"/>
      <c r="H28" s="264">
        <f>+IF(D28="","",((D28*100%)/$G$23)+H27)</f>
        <v>0.14410000000000001</v>
      </c>
      <c r="I28" s="716"/>
      <c r="J28" s="185"/>
      <c r="K28" s="185"/>
      <c r="M28" s="188"/>
    </row>
    <row r="29" spans="2:14" ht="15.6" customHeight="1" x14ac:dyDescent="0.2">
      <c r="B29" s="191" t="s">
        <v>115</v>
      </c>
      <c r="C29" s="228">
        <f>0.063*$G$23</f>
        <v>1.89E-2</v>
      </c>
      <c r="D29" s="228">
        <f>0.0511*$G$23</f>
        <v>1.533E-2</v>
      </c>
      <c r="E29" s="263">
        <f t="shared" si="0"/>
        <v>0.81111111111111112</v>
      </c>
      <c r="F29" s="745"/>
      <c r="G29" s="581"/>
      <c r="H29" s="264">
        <f t="shared" ref="H29:H38" si="1">+IF(D29="","",((D29*100%)/$G$23)+H28)</f>
        <v>0.19520000000000001</v>
      </c>
      <c r="I29" s="716"/>
      <c r="J29" s="185"/>
      <c r="K29" s="185"/>
      <c r="M29" s="188"/>
    </row>
    <row r="30" spans="2:14" ht="15.6" customHeight="1" x14ac:dyDescent="0.2">
      <c r="B30" s="191" t="s">
        <v>116</v>
      </c>
      <c r="C30" s="228">
        <f>0.088*$G$23</f>
        <v>2.6399999999999996E-2</v>
      </c>
      <c r="D30" s="228"/>
      <c r="E30" s="263">
        <f t="shared" si="0"/>
        <v>0</v>
      </c>
      <c r="F30" s="745"/>
      <c r="G30" s="581"/>
      <c r="H30" s="264" t="str">
        <f t="shared" si="1"/>
        <v/>
      </c>
      <c r="I30" s="716"/>
      <c r="J30" s="185"/>
      <c r="K30" s="185"/>
      <c r="M30" s="188"/>
    </row>
    <row r="31" spans="2:14" ht="15.6" customHeight="1" x14ac:dyDescent="0.2">
      <c r="B31" s="191" t="s">
        <v>117</v>
      </c>
      <c r="C31" s="228">
        <f>0.0871*$G$23</f>
        <v>2.6129999999999997E-2</v>
      </c>
      <c r="D31" s="228"/>
      <c r="E31" s="263">
        <f t="shared" si="0"/>
        <v>0</v>
      </c>
      <c r="F31" s="745"/>
      <c r="G31" s="581"/>
      <c r="H31" s="264" t="str">
        <f t="shared" si="1"/>
        <v/>
      </c>
      <c r="I31" s="716"/>
      <c r="J31" s="185"/>
      <c r="K31" s="185"/>
      <c r="M31" s="188"/>
    </row>
    <row r="32" spans="2:14" ht="15.6" customHeight="1" x14ac:dyDescent="0.2">
      <c r="B32" s="191" t="s">
        <v>118</v>
      </c>
      <c r="C32" s="228">
        <f>0.0931*$G$23</f>
        <v>2.793E-2</v>
      </c>
      <c r="D32" s="228"/>
      <c r="E32" s="263">
        <f t="shared" si="0"/>
        <v>0</v>
      </c>
      <c r="F32" s="745"/>
      <c r="G32" s="581"/>
      <c r="H32" s="264" t="str">
        <f t="shared" si="1"/>
        <v/>
      </c>
      <c r="I32" s="716"/>
      <c r="J32" s="185"/>
      <c r="K32" s="185"/>
      <c r="M32" s="188"/>
    </row>
    <row r="33" spans="2:11" ht="19.5" customHeight="1" x14ac:dyDescent="0.2">
      <c r="B33" s="191" t="s">
        <v>119</v>
      </c>
      <c r="C33" s="228">
        <f>0.1042*$G$23</f>
        <v>3.1259999999999996E-2</v>
      </c>
      <c r="D33" s="228"/>
      <c r="E33" s="263">
        <f t="shared" si="0"/>
        <v>0</v>
      </c>
      <c r="F33" s="745"/>
      <c r="G33" s="581"/>
      <c r="H33" s="264" t="str">
        <f t="shared" si="1"/>
        <v/>
      </c>
      <c r="I33" s="716"/>
      <c r="J33" s="195"/>
      <c r="K33" s="195"/>
    </row>
    <row r="34" spans="2:11" ht="19.5" customHeight="1" x14ac:dyDescent="0.2">
      <c r="B34" s="191" t="s">
        <v>120</v>
      </c>
      <c r="C34" s="228">
        <f>0.065*$G$23</f>
        <v>1.95E-2</v>
      </c>
      <c r="D34" s="228"/>
      <c r="E34" s="263">
        <f t="shared" si="0"/>
        <v>0</v>
      </c>
      <c r="F34" s="745"/>
      <c r="G34" s="581"/>
      <c r="H34" s="264" t="str">
        <f t="shared" si="1"/>
        <v/>
      </c>
      <c r="I34" s="716"/>
      <c r="J34" s="195"/>
      <c r="K34" s="195"/>
    </row>
    <row r="35" spans="2:11" ht="19.5" customHeight="1" x14ac:dyDescent="0.2">
      <c r="B35" s="191" t="s">
        <v>121</v>
      </c>
      <c r="C35" s="228">
        <f>0.0842*$G$23</f>
        <v>2.5259999999999998E-2</v>
      </c>
      <c r="D35" s="228"/>
      <c r="E35" s="263">
        <f t="shared" si="0"/>
        <v>0</v>
      </c>
      <c r="F35" s="745"/>
      <c r="G35" s="581"/>
      <c r="H35" s="264" t="str">
        <f t="shared" si="1"/>
        <v/>
      </c>
      <c r="I35" s="716"/>
      <c r="J35" s="195"/>
      <c r="K35" s="195"/>
    </row>
    <row r="36" spans="2:11" ht="19.5" customHeight="1" x14ac:dyDescent="0.2">
      <c r="B36" s="191" t="s">
        <v>122</v>
      </c>
      <c r="C36" s="228">
        <f>0.0576*$G$23</f>
        <v>1.728E-2</v>
      </c>
      <c r="D36" s="228"/>
      <c r="E36" s="263">
        <f t="shared" si="0"/>
        <v>0</v>
      </c>
      <c r="F36" s="745"/>
      <c r="G36" s="581"/>
      <c r="H36" s="264" t="str">
        <f t="shared" si="1"/>
        <v/>
      </c>
      <c r="I36" s="716"/>
      <c r="J36" s="195"/>
      <c r="K36" s="195"/>
    </row>
    <row r="37" spans="2:11" ht="19.5" customHeight="1" x14ac:dyDescent="0.2">
      <c r="B37" s="191" t="s">
        <v>123</v>
      </c>
      <c r="C37" s="228">
        <f>0.0641*$G$23</f>
        <v>1.9230000000000001E-2</v>
      </c>
      <c r="D37" s="228"/>
      <c r="E37" s="263">
        <f t="shared" si="0"/>
        <v>0</v>
      </c>
      <c r="F37" s="745"/>
      <c r="G37" s="581"/>
      <c r="H37" s="264" t="str">
        <f t="shared" si="1"/>
        <v/>
      </c>
      <c r="I37" s="716"/>
      <c r="J37" s="195"/>
      <c r="K37" s="195"/>
    </row>
    <row r="38" spans="2:11" ht="19.5" customHeight="1" x14ac:dyDescent="0.2">
      <c r="B38" s="191" t="s">
        <v>124</v>
      </c>
      <c r="C38" s="228">
        <f>0.118*$G$23</f>
        <v>3.5399999999999994E-2</v>
      </c>
      <c r="D38" s="228"/>
      <c r="E38" s="263">
        <f t="shared" si="0"/>
        <v>0</v>
      </c>
      <c r="F38" s="746"/>
      <c r="G38" s="582"/>
      <c r="H38" s="264" t="str">
        <f t="shared" si="1"/>
        <v/>
      </c>
      <c r="I38" s="717"/>
      <c r="J38" s="195"/>
      <c r="K38" s="195"/>
    </row>
    <row r="39" spans="2:11" ht="52.5" customHeight="1" x14ac:dyDescent="0.2">
      <c r="B39" s="229" t="s">
        <v>277</v>
      </c>
      <c r="C39" s="562"/>
      <c r="D39" s="563"/>
      <c r="E39" s="563"/>
      <c r="F39" s="563"/>
      <c r="G39" s="563"/>
      <c r="H39" s="563"/>
      <c r="I39" s="564"/>
      <c r="J39" s="196"/>
      <c r="K39" s="196"/>
    </row>
    <row r="40" spans="2:11" ht="34.5" customHeight="1" x14ac:dyDescent="0.2">
      <c r="B40" s="565"/>
      <c r="C40" s="566"/>
      <c r="D40" s="566"/>
      <c r="E40" s="566"/>
      <c r="F40" s="566"/>
      <c r="G40" s="566"/>
      <c r="H40" s="566"/>
      <c r="I40" s="567"/>
      <c r="J40" s="175"/>
      <c r="K40" s="175"/>
    </row>
    <row r="41" spans="2:11" ht="34.5" customHeight="1" x14ac:dyDescent="0.2">
      <c r="B41" s="568"/>
      <c r="C41" s="569"/>
      <c r="D41" s="569"/>
      <c r="E41" s="569"/>
      <c r="F41" s="569"/>
      <c r="G41" s="569"/>
      <c r="H41" s="569"/>
      <c r="I41" s="570"/>
      <c r="J41" s="196"/>
      <c r="K41" s="196"/>
    </row>
    <row r="42" spans="2:11" ht="34.5" customHeight="1" x14ac:dyDescent="0.2">
      <c r="B42" s="568"/>
      <c r="C42" s="569"/>
      <c r="D42" s="569"/>
      <c r="E42" s="569"/>
      <c r="F42" s="569"/>
      <c r="G42" s="569"/>
      <c r="H42" s="569"/>
      <c r="I42" s="570"/>
      <c r="J42" s="196"/>
      <c r="K42" s="196"/>
    </row>
    <row r="43" spans="2:11" ht="34.5" customHeight="1" x14ac:dyDescent="0.2">
      <c r="B43" s="568"/>
      <c r="C43" s="569"/>
      <c r="D43" s="569"/>
      <c r="E43" s="569"/>
      <c r="F43" s="569"/>
      <c r="G43" s="569"/>
      <c r="H43" s="569"/>
      <c r="I43" s="570"/>
      <c r="J43" s="196"/>
      <c r="K43" s="196"/>
    </row>
    <row r="44" spans="2:11" ht="34.5" customHeight="1" x14ac:dyDescent="0.2">
      <c r="B44" s="571"/>
      <c r="C44" s="572"/>
      <c r="D44" s="572"/>
      <c r="E44" s="572"/>
      <c r="F44" s="572"/>
      <c r="G44" s="572"/>
      <c r="H44" s="572"/>
      <c r="I44" s="573"/>
      <c r="J44" s="174"/>
      <c r="K44" s="174"/>
    </row>
    <row r="45" spans="2:11" ht="372" customHeight="1" x14ac:dyDescent="0.2">
      <c r="B45" s="224" t="s">
        <v>278</v>
      </c>
      <c r="C45" s="747" t="s">
        <v>398</v>
      </c>
      <c r="D45" s="748"/>
      <c r="E45" s="748"/>
      <c r="F45" s="748"/>
      <c r="G45" s="748"/>
      <c r="H45" s="748"/>
      <c r="I45" s="749"/>
      <c r="J45" s="197"/>
      <c r="K45" s="197"/>
    </row>
    <row r="46" spans="2:11" ht="132" customHeight="1" x14ac:dyDescent="0.2">
      <c r="B46" s="224" t="s">
        <v>279</v>
      </c>
      <c r="C46" s="750" t="s">
        <v>397</v>
      </c>
      <c r="D46" s="748"/>
      <c r="E46" s="748"/>
      <c r="F46" s="748"/>
      <c r="G46" s="748"/>
      <c r="H46" s="748"/>
      <c r="I46" s="749"/>
      <c r="J46" s="197"/>
      <c r="K46" s="197"/>
    </row>
    <row r="47" spans="2:11" ht="113.25" customHeight="1" x14ac:dyDescent="0.2">
      <c r="B47" s="230" t="s">
        <v>280</v>
      </c>
      <c r="C47" s="751" t="s">
        <v>386</v>
      </c>
      <c r="D47" s="752"/>
      <c r="E47" s="752"/>
      <c r="F47" s="752"/>
      <c r="G47" s="752"/>
      <c r="H47" s="752"/>
      <c r="I47" s="753"/>
      <c r="J47" s="197"/>
      <c r="K47" s="197"/>
    </row>
    <row r="48" spans="2:11" ht="22.5" customHeight="1" x14ac:dyDescent="0.2">
      <c r="B48" s="513" t="s">
        <v>236</v>
      </c>
      <c r="C48" s="514"/>
      <c r="D48" s="514"/>
      <c r="E48" s="514"/>
      <c r="F48" s="514"/>
      <c r="G48" s="514"/>
      <c r="H48" s="514"/>
      <c r="I48" s="515"/>
      <c r="J48" s="197"/>
      <c r="K48" s="197"/>
    </row>
    <row r="49" spans="2:11" ht="22.5" customHeight="1" x14ac:dyDescent="0.2">
      <c r="B49" s="587" t="s">
        <v>281</v>
      </c>
      <c r="C49" s="218" t="s">
        <v>282</v>
      </c>
      <c r="D49" s="589" t="s">
        <v>283</v>
      </c>
      <c r="E49" s="589"/>
      <c r="F49" s="589"/>
      <c r="G49" s="589" t="s">
        <v>284</v>
      </c>
      <c r="H49" s="589"/>
      <c r="I49" s="590"/>
      <c r="J49" s="198"/>
      <c r="K49" s="198"/>
    </row>
    <row r="50" spans="2:11" ht="30.75" customHeight="1" x14ac:dyDescent="0.2">
      <c r="B50" s="588"/>
      <c r="C50" s="232"/>
      <c r="D50" s="623"/>
      <c r="E50" s="623"/>
      <c r="F50" s="623"/>
      <c r="G50" s="623"/>
      <c r="H50" s="623"/>
      <c r="I50" s="624"/>
      <c r="J50" s="198"/>
      <c r="K50" s="198"/>
    </row>
    <row r="51" spans="2:11" ht="32.25" customHeight="1" x14ac:dyDescent="0.2">
      <c r="B51" s="233" t="s">
        <v>285</v>
      </c>
      <c r="C51" s="754" t="s">
        <v>381</v>
      </c>
      <c r="D51" s="754"/>
      <c r="E51" s="754"/>
      <c r="F51" s="754"/>
      <c r="G51" s="754"/>
      <c r="H51" s="754"/>
      <c r="I51" s="755"/>
      <c r="J51" s="200"/>
      <c r="K51" s="200"/>
    </row>
    <row r="52" spans="2:11" ht="28.5" customHeight="1" x14ac:dyDescent="0.2">
      <c r="B52" s="234" t="s">
        <v>286</v>
      </c>
      <c r="C52" s="754" t="s">
        <v>381</v>
      </c>
      <c r="D52" s="754"/>
      <c r="E52" s="754"/>
      <c r="F52" s="754"/>
      <c r="G52" s="754"/>
      <c r="H52" s="754"/>
      <c r="I52" s="755"/>
      <c r="J52" s="200"/>
      <c r="K52" s="200"/>
    </row>
    <row r="53" spans="2:11" ht="30" customHeight="1" x14ac:dyDescent="0.2">
      <c r="B53" s="230" t="s">
        <v>287</v>
      </c>
      <c r="C53" s="623" t="s">
        <v>330</v>
      </c>
      <c r="D53" s="623"/>
      <c r="E53" s="623"/>
      <c r="F53" s="623"/>
      <c r="G53" s="623"/>
      <c r="H53" s="623"/>
      <c r="I53" s="624"/>
      <c r="J53" s="201"/>
      <c r="K53" s="201"/>
    </row>
    <row r="54" spans="2:11" ht="31.5" customHeight="1" thickBot="1" x14ac:dyDescent="0.25">
      <c r="B54" s="211" t="s">
        <v>288</v>
      </c>
      <c r="C54" s="625" t="s">
        <v>331</v>
      </c>
      <c r="D54" s="626"/>
      <c r="E54" s="626"/>
      <c r="F54" s="626"/>
      <c r="G54" s="626"/>
      <c r="H54" s="626"/>
      <c r="I54" s="627"/>
      <c r="J54" s="202"/>
      <c r="K54" s="202"/>
    </row>
    <row r="55" spans="2:11" x14ac:dyDescent="0.2">
      <c r="B55" s="203"/>
      <c r="C55" s="204"/>
      <c r="D55" s="204"/>
      <c r="E55" s="205"/>
      <c r="F55" s="205"/>
      <c r="G55" s="212"/>
      <c r="H55" s="207"/>
      <c r="I55" s="204"/>
      <c r="J55" s="202"/>
      <c r="K55" s="202"/>
    </row>
    <row r="56" spans="2:11" x14ac:dyDescent="0.2">
      <c r="B56" s="203"/>
      <c r="C56" s="204"/>
      <c r="D56" s="204"/>
      <c r="E56" s="205"/>
      <c r="F56" s="205"/>
      <c r="G56" s="212"/>
      <c r="H56" s="207"/>
      <c r="I56" s="204"/>
      <c r="J56" s="202"/>
      <c r="K56" s="202"/>
    </row>
    <row r="57" spans="2:11" x14ac:dyDescent="0.2">
      <c r="B57" s="203"/>
      <c r="C57" s="204"/>
      <c r="D57" s="204"/>
      <c r="E57" s="205"/>
      <c r="F57" s="205"/>
      <c r="G57" s="212"/>
      <c r="H57" s="207"/>
      <c r="I57" s="204"/>
      <c r="J57" s="202"/>
      <c r="K57" s="202"/>
    </row>
    <row r="58" spans="2:11" x14ac:dyDescent="0.2">
      <c r="B58" s="203"/>
      <c r="C58" s="204"/>
      <c r="D58" s="204"/>
      <c r="E58" s="205"/>
      <c r="F58" s="205"/>
      <c r="G58" s="212"/>
      <c r="H58" s="207"/>
      <c r="I58" s="204"/>
      <c r="J58" s="202"/>
      <c r="K58" s="202"/>
    </row>
    <row r="59" spans="2:11" x14ac:dyDescent="0.2">
      <c r="B59" s="203"/>
      <c r="C59" s="204"/>
      <c r="D59" s="204"/>
      <c r="E59" s="205"/>
      <c r="F59" s="205"/>
      <c r="G59" s="212"/>
      <c r="H59" s="207"/>
      <c r="I59" s="204"/>
      <c r="J59" s="202"/>
      <c r="K59" s="202"/>
    </row>
    <row r="60" spans="2:11" ht="25.5" customHeight="1" x14ac:dyDescent="0.2">
      <c r="B60" s="203"/>
      <c r="C60" s="204"/>
      <c r="D60" s="204"/>
      <c r="E60" s="205"/>
      <c r="F60" s="205"/>
      <c r="G60" s="212"/>
      <c r="H60" s="207"/>
      <c r="I60" s="204"/>
      <c r="J60" s="202"/>
      <c r="K60" s="202"/>
    </row>
  </sheetData>
  <sheetProtection algorithmName="SHA-512" hashValue="n4Y3b1Za7ToYlfrLJtNuVSxryfxgihQ41s3Wc0CgWphbPe7f/pISIT8FU2v6PPBrVW3kCGnfhUDxllC5YT995w==" saltValue="dUbZdq107p0FiRcrSb83b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F887D107-B9C3-4A23-AE0C-1DEA8772F285}">
      <formula1>$M$21:$M$26</formula1>
    </dataValidation>
    <dataValidation type="list" showDropDown="1" showInputMessage="1" showErrorMessage="1" sqref="K12" xr:uid="{5E39D148-C732-4DA9-B76D-DC19B6AFAFE1}">
      <formula1>O17:O19</formula1>
    </dataValidation>
    <dataValidation type="list" allowBlank="1" showInputMessage="1" showErrorMessage="1" sqref="H12:I12" xr:uid="{8D193C82-F006-4CC4-8B72-BCC1C0CE602D}">
      <formula1>M17:M19</formula1>
    </dataValidation>
    <dataValidation type="list" allowBlank="1" showInputMessage="1" showErrorMessage="1" sqref="C24:E24" xr:uid="{26A62406-2974-4E6B-B155-AFC13B024F6A}">
      <formula1>$M$12:$M$15</formula1>
    </dataValidation>
    <dataValidation type="list" allowBlank="1" showInputMessage="1" showErrorMessage="1" sqref="C9:F9" xr:uid="{F271BB9F-2B6A-47B2-A4D7-98734BAF5042}">
      <formula1>$M$6:$M$9</formula1>
    </dataValidation>
    <dataValidation type="list" allowBlank="1" showInputMessage="1" showErrorMessage="1" sqref="H13:I13" xr:uid="{F8CAF5B7-E34D-40CF-84D7-CF1E82B3BFFC}">
      <formula1>$N$5:$N$8</formula1>
    </dataValidation>
    <dataValidation type="list" allowBlank="1" showInputMessage="1" showErrorMessage="1" sqref="C7 I7" xr:uid="{25D72A7A-50E4-44CB-98D6-54F8EB29DCAE}">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8433"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843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ANDRES</cp:lastModifiedBy>
  <cp:lastPrinted>2018-04-10T15:28:46Z</cp:lastPrinted>
  <dcterms:created xsi:type="dcterms:W3CDTF">2010-03-25T16:40:43Z</dcterms:created>
  <dcterms:modified xsi:type="dcterms:W3CDTF">2021-04-13T17:24:48Z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