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6"/>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Library/CloudStorage/OneDrive-INSTITUTODEPROTECCIONANIMAL899999061052/TRABAJO EN CASA/IDPYBA 2022/PLAN DE ACCION 2022/PROYECTO 7550/Diciembre/"/>
    </mc:Choice>
  </mc:AlternateContent>
  <xr:revisionPtr revIDLastSave="0" documentId="13_ncr:1_{990BD60D-A0A3-6E45-A8F3-E174876C216B}" xr6:coauthVersionLast="47" xr6:coauthVersionMax="47" xr10:uidLastSave="{00000000-0000-0000-0000-000000000000}"/>
  <bookViews>
    <workbookView xWindow="10780" yWindow="500" windowWidth="23260" windowHeight="16540" tabRatio="889"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8" i="92" l="1"/>
  <c r="G27" i="92"/>
  <c r="D35" i="92" l="1"/>
  <c r="D34" i="92"/>
  <c r="D29" i="92" l="1"/>
  <c r="C38" i="92" l="1"/>
  <c r="G27" i="91" l="1"/>
  <c r="F27" i="91"/>
  <c r="C27" i="91" l="1"/>
  <c r="D38" i="87"/>
  <c r="D37" i="92"/>
  <c r="C37" i="92"/>
  <c r="D36" i="92"/>
  <c r="C34" i="92"/>
  <c r="C35" i="92"/>
  <c r="C36" i="92"/>
  <c r="D38" i="91"/>
  <c r="C38" i="91"/>
  <c r="D37" i="91"/>
  <c r="C37" i="91"/>
  <c r="D36" i="91"/>
  <c r="D35" i="91"/>
  <c r="C35" i="91"/>
  <c r="D34" i="91"/>
  <c r="C34" i="91"/>
  <c r="D32" i="91"/>
  <c r="D31" i="91"/>
  <c r="D29" i="91"/>
  <c r="C29" i="91"/>
  <c r="C28" i="91"/>
  <c r="D28" i="93"/>
  <c r="D35" i="93"/>
  <c r="D38" i="93"/>
  <c r="C38" i="93"/>
  <c r="D36" i="93"/>
  <c r="D33" i="93"/>
  <c r="C28" i="93"/>
  <c r="I49" i="92" l="1"/>
  <c r="I48" i="92"/>
  <c r="I47" i="92"/>
  <c r="I64" i="91" l="1"/>
  <c r="J55" i="90" l="1"/>
  <c r="D36" i="95"/>
  <c r="D38" i="95"/>
  <c r="D37" i="87" l="1"/>
  <c r="E35" i="92" l="1"/>
  <c r="D36" i="90" l="1"/>
  <c r="D34" i="93" l="1"/>
  <c r="D32" i="93"/>
  <c r="D31" i="93"/>
  <c r="D30" i="93"/>
  <c r="D29" i="93"/>
  <c r="D27" i="93"/>
  <c r="D36" i="87" l="1"/>
  <c r="D35" i="90" l="1"/>
  <c r="D34" i="87" l="1"/>
  <c r="D35" i="87" l="1"/>
  <c r="D34" i="90" l="1"/>
  <c r="D34" i="95"/>
  <c r="D33" i="91" l="1"/>
  <c r="E38" i="92" l="1"/>
  <c r="E37" i="92"/>
  <c r="E36" i="92"/>
  <c r="E34" i="92"/>
  <c r="D33" i="92"/>
  <c r="D32" i="92"/>
  <c r="D33" i="87"/>
  <c r="D33" i="90" l="1"/>
  <c r="D32" i="90"/>
  <c r="E38" i="93" l="1"/>
  <c r="C37" i="93"/>
  <c r="E37" i="93" s="1"/>
  <c r="C36" i="93"/>
  <c r="E36" i="93" s="1"/>
  <c r="C35" i="93"/>
  <c r="E35" i="93" s="1"/>
  <c r="E34" i="93"/>
  <c r="C34" i="93"/>
  <c r="C33" i="93"/>
  <c r="E33" i="93" s="1"/>
  <c r="E32" i="93"/>
  <c r="C32" i="93"/>
  <c r="E31" i="93"/>
  <c r="C31" i="93"/>
  <c r="C30" i="93"/>
  <c r="E30" i="93" s="1"/>
  <c r="E29" i="93"/>
  <c r="C29" i="93"/>
  <c r="E28" i="93"/>
  <c r="E27" i="93"/>
  <c r="C27" i="93"/>
  <c r="D32" i="87" l="1"/>
  <c r="D31" i="90"/>
  <c r="D31" i="92"/>
  <c r="D31" i="87" l="1"/>
  <c r="C33" i="92"/>
  <c r="E33" i="92" s="1"/>
  <c r="C32" i="92"/>
  <c r="E32" i="92" s="1"/>
  <c r="C31" i="92"/>
  <c r="E31" i="92" s="1"/>
  <c r="D30" i="92"/>
  <c r="C30" i="92"/>
  <c r="C29" i="92"/>
  <c r="E29" i="92" s="1"/>
  <c r="C27" i="92"/>
  <c r="D28" i="92"/>
  <c r="C28" i="92"/>
  <c r="D27" i="92"/>
  <c r="E27" i="92" s="1"/>
  <c r="C36" i="91"/>
  <c r="C33" i="91"/>
  <c r="C32" i="91"/>
  <c r="C31" i="91"/>
  <c r="D30" i="91"/>
  <c r="C30" i="91"/>
  <c r="D28" i="91"/>
  <c r="D27" i="91"/>
  <c r="C38" i="90"/>
  <c r="C37" i="90"/>
  <c r="C36" i="90"/>
  <c r="C35" i="90"/>
  <c r="C34" i="90"/>
  <c r="C33" i="90"/>
  <c r="C32" i="90"/>
  <c r="C31" i="90"/>
  <c r="D30" i="90"/>
  <c r="C30" i="90"/>
  <c r="D29" i="90"/>
  <c r="C29" i="90"/>
  <c r="D28" i="90"/>
  <c r="C28" i="90"/>
  <c r="D27" i="90"/>
  <c r="C27" i="90"/>
  <c r="C38" i="95"/>
  <c r="C37" i="95"/>
  <c r="C36" i="95"/>
  <c r="C35" i="95"/>
  <c r="C34" i="95"/>
  <c r="D30" i="87"/>
  <c r="D29" i="87"/>
  <c r="D28" i="87"/>
  <c r="D27" i="87"/>
  <c r="C38" i="87"/>
  <c r="C37" i="87"/>
  <c r="C36" i="87"/>
  <c r="C35" i="87"/>
  <c r="C34" i="87"/>
  <c r="C33" i="87"/>
  <c r="C32" i="87"/>
  <c r="C31" i="87"/>
  <c r="C30" i="87"/>
  <c r="C29" i="87"/>
  <c r="C28" i="87"/>
  <c r="C27" i="87"/>
  <c r="E30" i="92" l="1"/>
  <c r="E28" i="92"/>
  <c r="E38" i="87"/>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38" i="95"/>
  <c r="E37" i="95"/>
  <c r="E36" i="95"/>
  <c r="E35" i="95"/>
  <c r="E34" i="95"/>
  <c r="E33" i="95"/>
  <c r="E32" i="95"/>
  <c r="E31" i="95"/>
  <c r="E30" i="95"/>
  <c r="E29" i="95"/>
  <c r="E28" i="95"/>
  <c r="E27" i="95"/>
  <c r="G27" i="80" l="1"/>
  <c r="F27" i="80" l="1"/>
  <c r="E31" i="80" l="1"/>
  <c r="E34" i="80"/>
  <c r="E35" i="80"/>
  <c r="H27" i="80"/>
  <c r="H28" i="80" s="1"/>
  <c r="H29"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I27" i="92" l="1"/>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H38" i="91"/>
  <c r="E37" i="91"/>
  <c r="H37" i="91" l="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<sst xmlns="http://schemas.openxmlformats.org/spreadsheetml/2006/main" count="1322" uniqueCount="479">
  <si>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</si>
  <si>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</si>
  <si>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</si>
  <si>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</si>
  <si>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</si>
  <si>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</si>
  <si>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</si>
  <si>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</si>
  <si>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</si>
  <si>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</si>
  <si>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</si>
  <si>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</si>
  <si>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</si>
  <si>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</si>
  <si>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</si>
  <si>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</si>
  <si>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</si>
  <si>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</si>
  <si>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</si>
  <si>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</si>
  <si>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</si>
  <si>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</si>
  <si>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</si>
  <si>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</si>
  <si>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</si>
  <si>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</si>
  <si>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</si>
  <si>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</si>
  <si>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</si>
  <si>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</si>
  <si>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</si>
  <si>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</si>
  <si>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</si>
  <si>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</si>
  <si>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</si>
  <si>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</si>
  <si>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</si>
  <si>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</si>
  <si>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</si>
  <si>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</si>
  <si>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</si>
  <si>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</si>
  <si>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</si>
  <si>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</si>
  <si>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</si>
  <si>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</si>
  <si>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</si>
  <si>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</si>
  <si>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</si>
  <si>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</si>
  <si>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</si>
  <si>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</si>
  <si>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</si>
  <si>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</si>
  <si>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</si>
  <si>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</si>
  <si>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</si>
  <si>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</si>
  <si>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</si>
  <si>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</si>
  <si>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</si>
  <si>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</si>
  <si>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</si>
  <si>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</si>
  <si>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</si>
  <si>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</si>
  <si>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</si>
  <si>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</si>
  <si>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</si>
  <si>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</si>
  <si>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</si>
  <si>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</si>
  <si>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</si>
  <si>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</si>
  <si>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</si>
  <si>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</si>
  <si>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</si>
  <si>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</si>
  <si>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</si>
  <si>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</si>
  <si>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</si>
  <si>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</si>
  <si>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</si>
  <si>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</si>
  <si>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</si>
  <si>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</si>
  <si>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</si>
  <si>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</si>
  <si>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</si>
  <si>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</si>
  <si>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</si>
  <si>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</si>
  <si>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</si>
  <si>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</si>
  <si>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</si>
  <si>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</si>
  <si>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</si>
  <si>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</si>
  <si>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</si>
  <si>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</si>
  <si>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</si>
  <si>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</si>
  <si>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</si>
  <si>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</si>
  <si>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</si>
  <si>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</si>
  <si>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</si>
  <si>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</si>
  <si>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</si>
  <si>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</si>
  <si>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</si>
  <si>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</si>
  <si>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</si>
  <si>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</si>
  <si>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</si>
  <si>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</si>
  <si>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</si>
  <si>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</si>
  <si>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</si>
  <si>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</si>
  <si>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</si>
  <si>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</si>
  <si>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</si>
  <si>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</si>
  <si>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</si>
  <si>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</si>
  <si>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</si>
  <si>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</si>
  <si>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</si>
  <si>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</si>
  <si>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</si>
  <si>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</si>
  <si>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</si>
  <si>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</si>
  <si>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</si>
  <si>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</si>
  <si>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</si>
  <si>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</si>
  <si>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</si>
  <si>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</si>
  <si>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</si>
  <si>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</si>
  <si>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</si>
  <si>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</si>
  <si>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</si>
  <si>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</si>
  <si>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</si>
  <si>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</si>
  <si>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</si>
  <si>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</si>
  <si>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</si>
  <si>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</si>
  <si>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</si>
  <si>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</si>
  <si>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</si>
  <si>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</si>
  <si>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</si>
  <si>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</si>
  <si>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</si>
  <si>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</si>
  <si>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</si>
  <si>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</si>
  <si>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</si>
  <si>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</si>
  <si>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</si>
  <si>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</si>
  <si>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</si>
  <si>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</si>
  <si>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</si>
  <si>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</si>
  <si>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</si>
  <si>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</si>
  <si>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</si>
  <si>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</si>
  <si>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</si>
  <si>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</si>
  <si>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</si>
  <si>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</si>
  <si>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</si>
  <si>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</si>
  <si>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</si>
  <si>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</si>
  <si>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</si>
  <si>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</si>
  <si>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</si>
  <si>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</si>
  <si>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</si>
  <si>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</si>
  <si>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</si>
  <si>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</si>
  <si>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</si>
  <si>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</si>
  <si>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</si>
  <si>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</si>
  <si>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</si>
  <si>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</si>
  <si>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</si>
  <si>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</si>
  <si>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</si>
  <si>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</si>
  <si>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</si>
  <si>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</si>
  <si>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</si>
  <si>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</si>
  <si>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</si>
  <si>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</si>
  <si>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</si>
  <si>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</si>
  <si>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</si>
  <si>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</si>
  <si>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</si>
  <si>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</si>
  <si>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</si>
  <si>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</si>
  <si>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</si>
  <si>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</si>
  <si>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</si>
  <si>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</si>
  <si>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</si>
  <si>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</si>
  <si>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</si>
  <si>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</si>
  <si>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</si>
  <si>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</si>
  <si>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</si>
  <si>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Realizar diagnóstico e implementación de cargas laborales del Instituto Distrital de Protección y Bienestar Animal</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</si>
  <si>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</si>
  <si>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</si>
  <si>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</si>
  <si>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</si>
  <si>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</si>
  <si>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</si>
  <si>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</si>
  <si>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</si>
  <si>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</si>
  <si>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</si>
  <si>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Afianzar la estructura organizacional productiva e integra, a través del desarrollo de capacidades del talento humano y un ambiente cordial</t>
  </si>
  <si>
    <t>Meta Sectorial</t>
  </si>
  <si>
    <t>Realizar el fortalecimiento institucional de la estructura orgánica y funcional de la estructura orgánica y funcional de la SDA, IDGER, JBB, E  IDPYBA</t>
  </si>
  <si>
    <t>Nombre del indicador</t>
  </si>
  <si>
    <t>Diagnósticos Desarrollados</t>
  </si>
  <si>
    <t>Tipología</t>
  </si>
  <si>
    <t>Fecha de programación</t>
  </si>
  <si>
    <t>1 de enero de 2022</t>
  </si>
  <si>
    <t>Tipo anualización</t>
  </si>
  <si>
    <t>Objetivo y descripción del Indicador</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</si>
  <si>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</si>
  <si>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Fuente u origen de Datos</t>
  </si>
  <si>
    <t>PLAN DE ACCIÓN</t>
  </si>
  <si>
    <t>Fórmula de Cálculo</t>
  </si>
  <si>
    <t>Actividades ejecutadas para la realización de Diagnóstico / actividades programadas para la realización de Diagnóstico</t>
  </si>
  <si>
    <t>Unidad de medida del indicador</t>
  </si>
  <si>
    <t>CANTIDAD</t>
  </si>
  <si>
    <t xml:space="preserve">Nombre de las Variables </t>
  </si>
  <si>
    <t>Magnitud Ejecutada</t>
  </si>
  <si>
    <t xml:space="preserve">Magnitud programada </t>
  </si>
  <si>
    <t>Actividades ejecutadas para la realización de Diagnóstico</t>
  </si>
  <si>
    <t xml:space="preserve"> Actividades programadas para la realización de Diagnóstico</t>
  </si>
  <si>
    <t>Unidad de medida (de la variable)</t>
  </si>
  <si>
    <t>Descripción de la variable</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</si>
  <si>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</si>
  <si>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</si>
  <si>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</si>
  <si>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</si>
  <si>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</si>
  <si>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</si>
  <si>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</si>
  <si>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</si>
  <si>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</si>
  <si>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</si>
  <si>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</si>
  <si>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</si>
  <si>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</si>
  <si>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</si>
  <si>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</si>
  <si>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</si>
  <si>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</si>
  <si>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</si>
  <si>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</si>
  <si>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</si>
  <si>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Descripción avances y logros</t>
  </si>
  <si>
    <t>Descripción retrasos y soluciones</t>
  </si>
  <si>
    <t>Beneficios para la Comunidad/Entidad</t>
  </si>
  <si>
    <t>PARTE 3. Actualización y Responsables del reporte</t>
  </si>
  <si>
    <t>Control de actualizaciones</t>
  </si>
  <si>
    <t xml:space="preserve">Fecha </t>
  </si>
  <si>
    <t>Campo modificado</t>
  </si>
  <si>
    <t>Modificación realizada.</t>
  </si>
  <si>
    <t>Responsable del Análisis</t>
  </si>
  <si>
    <t>XIMENA DEL PILAR RODRIGUEZ CIFUENTES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</si>
  <si>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</si>
  <si>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</si>
  <si>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</si>
  <si>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</si>
  <si>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</si>
  <si>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</si>
  <si>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</si>
  <si>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</si>
  <si>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</si>
  <si>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</si>
  <si>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</si>
  <si>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</si>
  <si>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</si>
  <si>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</si>
  <si>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</si>
  <si>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</si>
  <si>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</si>
  <si>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Acumulado Año</t>
  </si>
  <si>
    <t>Piezas Gráficas</t>
  </si>
  <si>
    <t>Videos</t>
  </si>
  <si>
    <t>Notas y Comunicados</t>
  </si>
  <si>
    <t>Publicaciones Facebook</t>
  </si>
  <si>
    <t>Publicaciones Twitter</t>
  </si>
  <si>
    <t>Publicaciones Instagram</t>
  </si>
  <si>
    <t>Impresiones en redes</t>
  </si>
  <si>
    <t xml:space="preserve">Se ha hecho una socialización masiva en el marco del free press y a través de redes sociales, llegando cada vez más a la comunidad. La tasa de retención es la más relevante este mes. Gracias al Congreso de Derecho Animal se disparó la audiencia. En cuanto a comunicados de prensa, hay un porcentaje valioso de cobertura frente a nuestros comunicados. </t>
  </si>
  <si>
    <t>CATALINA MARÍA CRUZ</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</si>
  <si>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</si>
  <si>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</si>
  <si>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</si>
  <si>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</si>
  <si>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</si>
  <si>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</si>
  <si>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</si>
  <si>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</si>
  <si>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</si>
  <si>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</si>
  <si>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</si>
  <si>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</si>
  <si>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</si>
  <si>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</si>
  <si>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</si>
  <si>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</si>
  <si>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</si>
  <si>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</si>
  <si>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</si>
  <si>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</si>
  <si>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</si>
  <si>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</si>
  <si>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</si>
  <si>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</si>
  <si>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Actas de sistema de gestión de calidad elaboradas:</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</si>
  <si>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</si>
  <si>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</si>
  <si>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</si>
  <si>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</si>
  <si>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</si>
  <si>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</si>
  <si>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</si>
  <si>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</si>
  <si>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</si>
  <si>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</si>
  <si>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</si>
  <si>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</si>
  <si>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</si>
  <si>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</si>
  <si>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</si>
  <si>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Peticiones - oficios recibidos y tramitados:</t>
  </si>
  <si>
    <t>Tutelas y demandas respondidas:</t>
  </si>
  <si>
    <t>Diligencias judiciales atendidas:</t>
  </si>
  <si>
    <t>Denuncias tramitadas o gestionadas:</t>
  </si>
  <si>
    <t>Contratos elaborados:</t>
  </si>
  <si>
    <t>Novedades contractuales:</t>
  </si>
  <si>
    <t>Derechos de petición respondidos, PQR, Requerimientos:</t>
  </si>
  <si>
    <t>Expedientes gestionados:</t>
  </si>
  <si>
    <t>Derechos de petición respondidos:</t>
  </si>
  <si>
    <t>Autos inhibitorios o fallos de primera instancia:</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</si>
  <si>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</si>
  <si>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</si>
  <si>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</si>
  <si>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</si>
  <si>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</si>
  <si>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</si>
  <si>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</si>
  <si>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</si>
  <si>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 xml:space="preserve">PQRS recibidas: </t>
  </si>
  <si>
    <t>Satisfacción ciudadana:</t>
  </si>
  <si>
    <t>Asesorías dadas:</t>
  </si>
  <si>
    <t>Capacitaciones:</t>
  </si>
  <si>
    <t>Actividades de bienestar:</t>
  </si>
  <si>
    <t>Actividades del PASST:</t>
  </si>
  <si>
    <t>Actividades FURAG-MIPG:</t>
  </si>
  <si>
    <t>Ingresos, salidas y traslados:</t>
  </si>
  <si>
    <t>Proveedores gestionados:</t>
  </si>
  <si>
    <t>Mantenimientos realizados</t>
  </si>
  <si>
    <t>Campañas realizadas:</t>
  </si>
  <si>
    <t>CDP Y CRP expedidos:</t>
  </si>
  <si>
    <t>Seguimientos y modificaciones al PAA:</t>
  </si>
  <si>
    <t>Giros por pospre realizados:</t>
  </si>
  <si>
    <t>Operaciones contables:</t>
  </si>
  <si>
    <t>Transferencias documentales realizadas</t>
  </si>
  <si>
    <t>Capacitaciones realizadas:</t>
  </si>
  <si>
    <t>Implementar un plan de acción para el cumplimiento de la estrategia de los procesos TIC del Instituto acorde con los lineamientos establecidos en el Decreto 415 de 2016</t>
  </si>
  <si>
    <t>PA04</t>
  </si>
  <si>
    <t xml:space="preserve">Desarrollar herramientas técnicas, dinámicas y confiables, a través del manejo y gestión de conocimiento. </t>
  </si>
  <si>
    <t>Planes De Acción O Gestión Formulados.</t>
  </si>
  <si>
    <t>PLAN DE ACCION</t>
  </si>
  <si>
    <t>AVANCE MES</t>
  </si>
  <si>
    <t>ACUMULADO AÑO</t>
  </si>
  <si>
    <t>Solicitudes gestionadas por la mesa de servicios:</t>
  </si>
  <si>
    <t>Publicaciones realizadas en sitios web:</t>
  </si>
  <si>
    <t>MONICA LIZETH GARZÓN</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</si>
  <si>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</si>
  <si>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</si>
  <si>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</si>
  <si>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</si>
  <si>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</si>
  <si>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</si>
  <si>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</si>
  <si>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</si>
  <si>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</si>
  <si>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</si>
  <si>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</si>
  <si>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</si>
  <si>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</si>
  <si>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</si>
  <si>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</si>
  <si>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</si>
  <si>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</si>
  <si>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</si>
  <si>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</si>
  <si>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</si>
  <si>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</si>
  <si>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</si>
  <si>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</si>
  <si>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</si>
  <si>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</si>
  <si>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</si>
  <si>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RUTH YANED VARGAS RICO</t>
  </si>
  <si>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t>
    </r>
    <r>
      <rPr>
        <b/>
        <sz val="10"/>
        <color rgb="FF000000"/>
        <rFont val="Arial"/>
        <family val="2"/>
      </rPr>
      <t xml:space="preserve">
NOTA: </t>
    </r>
    <r>
      <rPr>
        <sz val="10"/>
        <color rgb="FF000000"/>
        <rFont val="Arial"/>
        <family val="2"/>
      </rPr>
      <t>En cuanto a algunos CDP y CRP, cada documento debe expedirse tres veces, esto debido a que se expide en un rubro por cada elemento PEP, que si bien sigue siendo el mismo documento y el mismo consecutivo, el tramite se realiza una vez por cada elemento.</t>
    </r>
    <r>
      <rPr>
        <b/>
        <sz val="10"/>
        <color rgb="FF000000"/>
        <rFont val="Arial"/>
        <family val="2"/>
      </rPr>
      <t xml:space="preserve">
</t>
    </r>
  </si>
  <si>
    <t xml:space="preserve">11 ingresos, 111 salidas, 0 reintegros 47 traslados,  0 compras, </t>
  </si>
  <si>
    <t xml:space="preserve">104 ingresos; 1909 salidas; 346 traslados; 8 reintegros; 26 compras  8 bajas </t>
  </si>
  <si>
    <t>1 Tutela</t>
  </si>
  <si>
    <t>27 Acciones Constitucionales</t>
  </si>
  <si>
    <t>67 y 1 oficio de excusa</t>
  </si>
  <si>
    <t>1525 y 72 oficios de excusa</t>
  </si>
  <si>
    <t>7</t>
  </si>
  <si>
    <t>73</t>
  </si>
  <si>
    <t>paz y salvos</t>
  </si>
  <si>
    <t>Con el cumplimiento de la meta establecida en el Plan de Acción y Plan de Contratación y Compras, la Subdirección de Gestión Corporativa - desde el grupo contractual realiza apoyo a las diferentes áreas misionales para el cumplimiento de la misión del Instituto en pro de la materialización de proyectos encaminados a la protección y el bienestar de la fauna doméstica que habita en el Distrito y en el alcance de las metas propuestas y el cumplimiento de los principios de la función pública.
Los temas contractuales se gestionan a través de procesos y procedimientos eficientes y eficaces que comprenden el acompañamiento jurídico, técnico y financiero a cada uno de los procesos de selección, promoviendo el ahorro a través de las compras de uso de bienes y servicio común y la utilización de la Tienda Virtual del Estado Colombiano como instrumento de Agregación de Demanda y en Grandes Superficies
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</si>
  <si>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r>
      <rPr>
        <b/>
        <sz val="11"/>
        <color theme="1"/>
        <rFont val="Arial"/>
        <family val="2"/>
      </rPr>
      <t>OFICINA DE CONTROL INTERNO DISCIPLINARIO:</t>
    </r>
    <r>
      <rPr>
        <sz val="11"/>
        <color theme="1"/>
        <rFont val="Arial"/>
        <family val="2"/>
      </rPr>
      <t xml:space="preserve"> 
Durante el mes de diciembre se emitieron 9 providencias así:
2 autos de archivo 
4 autos que decretan pruebas 
1 auto cierre etapa de instrucción 
1 auto que ordena la incorporación de escrito de defensa 
1 auto inhibitorio</t>
    </r>
  </si>
  <si>
    <r>
      <rPr>
        <b/>
        <sz val="10"/>
        <color theme="1"/>
        <rFont val="Arial"/>
        <family val="2"/>
      </rPr>
      <t>GESTION DE TALENTO HUMANO</t>
    </r>
    <r>
      <rPr>
        <sz val="10"/>
        <color theme="1"/>
        <rFont val="Arial"/>
        <family val="2"/>
      </rPr>
      <t xml:space="preserve">:  Para el mes de diciembre de 2022 se tenían programadas 2 capacitaciones de las cuales se realizaron 2: Capacitación Ahorro y uso eficiente de agua - energía y Capacitación inclusión de criterios ambientales a los contratos del Instituto – compras sostenibles.  Así mismo, en el plan de bienestar e incentivos, se tenían programadas 5 actividades de las cuales se ejecutaron 5. Por otra parte, en el Plan de SST se tenían programadas 9 actividades de las cuales se ejecutaron 9: 1. Se realizó el diligenciamiento de los indicadores, según el tiempo de periodicidad de los mimos en la plataforma SIDEAP 2. Se realiza acompañamiento a reunión mensual donde se realiza la rendición de cuentas de SG- SST de la vigencia 2022 dando la ejecución de las acciones del plan SG- SST, y la auditoria con el plan de mejoramiento 3. Se solicita información al Comité Convivencia Laboral para realizar el seguimiento  e incluir la información en la rendición de cuentas presentada en el mes 4. Se realiza informe de rendición de cuentas del sistema el día 13 de diciembre donde se da a conocer las actividades ejecutadas con respecto al plan de acción, y la normatividad vigente  5. Se realiza acta de seguimiento de las capacitaciones realizadas en el último trimestre identificando la dificultades en cuanto a la baja participación de las mismas 6. Se realiza reunión de seguimiento al programa de vigilancia epidemiológica en riesgo psicosocial y se deja como evidencia los formatos de Excel con las actividades ejecutadas en la vigencia 2022 y la actualización del plan para la vigencia 2023 7. En el mes de diciembre se reporta un accidente de trabajo y se realizará la investigación del mismo conforme a los tiempos establecidos 8. Se realiza revisión del SG- SST conforme a la respuesta de los 24 puntos establecidos para su evaluación 9.Se envía la definición del Plan de Trabajo en SST para la vigencia 2023 junto con el cronograma de actividades propuesto . En el PESV, se cumplió a cabalidad con las actividades programadas. Finalmente, respecto a las jornadas de inducción y reinducción las mismas fueron ejecutadas en su totalidad hasta el mes de noviembre de 2022 y en cuanto a las actividades del plan de mejoramiento FURAG, todas se ejecutaron por cronograma con corte al mes de noviembre de 2022. </t>
    </r>
  </si>
  <si>
    <r>
      <t xml:space="preserve">EQUIPO DE GESTIÓN DOCUMENTAL: 
</t>
    </r>
    <r>
      <rPr>
        <sz val="10"/>
        <rFont val="Arial"/>
        <family val="2"/>
      </rPr>
      <t>Respecto a las Transferencias Primarias Documentales, durante el mes de diciembre se logró la recepción de ciento setenta y seis (176) unidades de conservación (cajas x200) correspondientes a; Planeación, Identificación, Fauna Silvestre, Brigadas Médicas y Libros Auxiliares. 
Respecto a las capacitaciones se realizaron ocho (8) sesiones, con el fin de resolver inquietudes referentes a la Transferencia Primaria Documental y demás temas generales de la Gestión Documental. Las áreas que se brindó el apoyo y seguimiento son; Identificación, Contabilidad, Urgencias Veterinarias, Esterilización, Maltrato Animal y Punto Fijo de la Unida de Cuidado Animal (UCA).
Por último, se recibieron nueve (9) inventarios documentales de archivos de gestión de; Esterilización, Urgencias Veterinarias, Maltrato Animal, Punto Fijo, Planeación, Jurídica, Talento Humano, Contractual y Comunicaciones.</t>
    </r>
  </si>
  <si>
    <t>90CDP y 117 CRP</t>
  </si>
  <si>
    <t>1599CDP y 1517CRP</t>
  </si>
  <si>
    <t>•	Se realizó la implementación del módulo de Facturación en el Sistema ERP Z-Box para el Sistema de Esterilizar Salva de los estratos 4, 5 y 6.
•	Implementación del Documento equivalente ante la DIAN para realizar facturación electrónica de los servicios ofrecidos para los estratos 4,5 y 6 en el Sistema Esterilizar Salva.
•	Actualización de elementos tecnológicos (Equipos de Cómputo e Impresoras) para mayor rendimiento.
•	Mayor seguimiento a las actividades realizadas bajo el contrato 419 de 2022 de ETB en referencia a Gestor de Contenido A-Z Digital y ERP Z-Box.
•	Charla sobre Protección de Datos y Copias de Respaldo.
•  Se identificaron los riesgos de seguridad y privacidad de la información de las áreas del Instituto</t>
  </si>
  <si>
    <t xml:space="preserve">Con ocasión a la respuesta del DASCD y la SDH se replantea el propósito del rediseño institucional y se continua con otra etapa de la atención de necesidades. </t>
  </si>
  <si>
    <t xml:space="preserve">Se esta fortaleciendo el análisis interno y externo para el cumplimiento de la misión y visión del instituto teniendo en cuenta las nuevas funciones asignadas al instituto mediante el Artículo 22 del Acuerdo Distrital 735 de 2019 y mediante el Acuerdo Distrital 761 de 2020 articulo 117 , con el levantamiento de cargas laborales efectuado, se espera conocer y facilitar el balance entre los colaboradores y servidores de la entidad identificando las oportunidades de mejora que facilite la prestación del servicio y el crecimiento de la entidad. Adicionalmente con la separación de las etapas de instrucción y juzgamiento la entidad tendrá garantías procesales de los investigados disciplinariamente </t>
  </si>
  <si>
    <t>En esta meta, se ha logrado avanzar con el proyecto de rediseño del instituto, realizando un levantamiento de cargas laborales en todas las dependencias, elaborando el documento de estudio técnico que tuviera en cuenta las competencias frente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deberá completar los conceptos de viabilidad por parte del Departamento Administrativo del Servicio Civil Distrital y la Secretaría Distrital de Hacienda. Asimismo, se inicia ele estudio para la separación de las etapas de instrucción y juzgamiento en los procesos disciplinarios que se llevan contra servidores y exservidores del IDPYBA</t>
  </si>
  <si>
    <t>Dando cumplimiento a lo indicado por el DASCD, el IDPYBA el día 11 de noviembre de 2022 solicita ante la SDH una nueva mesa técnica para abortar temas de viabilidad presupuestal frente al estudio técnico que ya se encontraba en proceso de ajustes para viabilidad técnica, no obstante, el 01 de diciembre de 2022 la SDH da respuesta a la solicitud mencionada con anterioridad, manifestando que una vez analizada la solicitud y teniendo en cuenta las proyecciones del marco fiscal a mediano plazo, así como las reuniones con la Alcaldesa Mayor, la Secretaría General, el DASC no es posible dar viabilidad a la creación de nuevos cargos en el IDPYBA.
Con ocasión a lo anterior, se inicia un nuevo estudio técnico para modificar la estructura organizacional del IDPYBA, suprimiendo la Oficina Asesora Jurídica del nivel asesor, y creando la Oficina Jurídica del nivel directivo, así como la creación del empleo de jefe de Oficina que quedara ubicado en la Oficina Jurídica, asimismo Dando cumplimiento a lo indicado por el DASCD, el IDPYBA el día 11 de noviembre de 2022 solicita ante la SDH una nueva mesa técnica para abortar temas de viabilidad presupuestal frente al estudio técnico que ya se encontraba en proceso de ajustes para viabilidad técnica, no obstante, el 01 de diciembre de 2022 la SDH da respuesta a la solicitud mencionada con anterioridad, manifestando que una vez analizada la solicitud y teniendo en cuenta las proyecciones del marco fiscal a mediano plazo, así como las reuniones con la Alcaldesa Mayor, la Secretaría General, el DASC no es posible dar viabilidad a la creación de nuevos cargos en el IDPYBA.
Con ocasión a lo anterior, se inicia un nuevo estudio técnico para modificar la estructura organizacional del IDPYBA, suprimiendo la Oficina Asesora Jurídica del nivel asesor, y creando la Oficina Jurídica del nivel directivo, así como la creación del empleo de jefe de Oficina que quedara ubicado en la Oficina Jurídica, asimismo.
nota: Con ocasión a lo anteriormente expuesto, fue necesario desde la gerencia del proyecto de inversión realizar una reprogramación de actividades y tareas en el plan de acción. Por lo que la HV se ajusta en consecuencia.</t>
  </si>
  <si>
    <t xml:space="preserve">En el mes de diciembre de 2022 se efectuaron los reportes en PMR, SPI, POA, Alertas y Recomendaciones, Seguimiento al POA  y Hojas de vida de indicadores del mes de noviembre de 2022 para cada uno de los proyectos de inversión del IDPYBA. 
En cuanto a la operación estadística, se realizo la revisión y actualización del inventario de demanda.
Se diligencio el reporte para el cuarto trimestre de productos en responsabilidad del IDPYBA en la Política Pública de Fenómeno de Habitabilidad en calle, así mismo se realizó la revisión de los compromisos establecidos en la Política Pública de Espacio Público, para el desarrollo de la sesión PRECONPES DC. Por otra parte se realizaron los ajustes finales referentes a la solicitud de observaciones en el plan de acción de la Política Pública de Protección y Bienestar Animal y se efectuó la  revisión plan de trabajo de la causa ciudadana 2 ruedas 4 patas </t>
  </si>
  <si>
    <t>El instituto mediante el seguimiento  y validación que efectúa mes a mes ha dado cumplimiento a los diferentes lineamientos  administrativo y normativos a nivel distrital y nacional, mediante  el cargue en las diferentes plataformas de la gestión física y presupuestal de cada proyecto de inversión  evidenciando una descripción oportuna  para los diferentes datos requeridos tales como comportamiento de las metas internas de los proyectos , avance en acumulado de cada proyecto respecto al cuatrienio y como se comporta la entidad en las metas PDD. 
Se cumplió con el 100% de la solicitud de reporte de los productos en responsabilidad y corresponsabilidad del IDPYBA en las políticas públicas de : Protección y Bienestar Animal, Mujeres y Equidad de Género, Juventud, LGBTI y Habitabilidad en calle, así mismo se proporcionó acompañamiento para la formulación de productos en responsabilidad del IDPYBA en las políticas : acción comunal, espacio público, ruralidad, DRAFE.
Se brindo acompañamiento para la implementación del plan de acción PPDPYBA, logrando la aprobación de los ajustes a los indicadores de producto solicitados a la SDP. Por otra parte se realizó acompañamiento técnico a 15 FDL en la fase dos de presupuestos participativos, mediante la participación en los laboratorios cívicos y diferenciales según los lineamientos de la SDP,SDG y IDPAC. 
Se realizó la revisión de las 7 causas ciudadanas propuestas para la vigencia del 2002 correspondientes a la temática protección y el bienestar animal , dando viabilidad a 3 para que pasaran a votación ciudadana. Además se hizo seguimiento a las causas ciudadanas ganadoras del 2021</t>
  </si>
  <si>
    <t>Para el reporte del periodo no se presentó ningún retraso, el cronograma se ejecuto acorde con la programación.</t>
  </si>
  <si>
    <t>Los beneficios para la entidad con la realización de las Herramientas de Planeación que articulen al Instituto facilita el acceso de la información de la ejecución de las magnitudes físicas, financieras y permiten la toma de decisiones ajustadas a las necesidades de la población animal.</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</si>
  <si>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</si>
  <si>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Diana Sánchez, William Guerrero, Marcela Plazas, Leidy Rodríguez y Deisi Pascagaza</t>
  </si>
  <si>
    <t>Para el mes de diciembre se realizan mesas de trabajo con los procesos de para brindar asesoría y apoyo en la actualización y adopción de nuevos documentos, se  realizan revisiones preliminares de documentos de los procesos de Talento Humano, Gestión Jurídica, se realiza el proceso de transferencia documental de la vigencia 2019 de los 14 procesos del Instituto, se realiza el seguimiento y cierre del tercer cuatrimestre del PAAC 2022, RIESGOS DE CORRUPCIÓN Y RIESGOS DE PROCESOS se trabaja en la propuesta para la modificación de la Resolución 047 de 2019 “por la cual se crea el Comité Institucional de Gestión y Desempeño del IDPYBA” en la cual se actualiza, modifica y adicionan ciertos aspectos importantes, también se trabaja en el proceso de caracterización de usuarios de la entidad. Se realizó seguimiento y cierre a las actividades programadas del plan de mantenimiento y sostenibilidad FURAG, se presento informe ante el comité de gestión y desempeño, se revisan planes del decreto 612 para la vigencia 2023 como:: PIC-PLAN DE VACANTES - PLAN DE PREVISIÓN - PLAN DE BIENESTAR E INCENTIVOS, Se realizaron 2 actas de aprobación se actualizaron 2 políticas
se adoptaron 1 procedimiento 1 instructivo y 15 formatos para un total de 19 documentos, se mantiene actualizado el listado maestro, se desarrolla el ejercicio participativo para la Consolidación de opiniones y sugerencias de la ciudadanía en el  Plan Anticorrupción y Atención al Ciudadano y mapa de riesgos de corrupción.</t>
  </si>
  <si>
    <t>Documentos actualizados o creados:</t>
  </si>
  <si>
    <t xml:space="preserve">La comunidad cuenta con una Oficina Asesora Jurídica, Equipo de contratación y de Control interno disciplinario que responde a todas las necesidades internas de la Entidad. Adicionalmente, contribuyen a la defensa de los animales, entendimiento de los asuntos jurídicos en materia de protección y bienestar animal, protección de los recursos e intereses públicos entre otros. </t>
  </si>
  <si>
    <t>Vanessa Páez - Ingrid Rodríguez -  María Isabel Villegas</t>
  </si>
  <si>
    <t>Yuly Patricia Castro Beltrán  - Gotardo Antonio Yáñez Álvarez - María Isabel Villegas</t>
  </si>
  <si>
    <t>Jefe de la Oficina Asesora de Planeación - Subdirector de Gestión Corporativa - Jefe de la Oficina de Control Disciplinario Interno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</si>
  <si>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</si>
  <si>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 xml:space="preserve">Se actualizan y/o elaboran  41 documentos, se envían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</si>
  <si>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r>
      <rPr>
        <b/>
        <sz val="11"/>
        <color theme="1"/>
        <rFont val="Arial"/>
        <family val="2"/>
      </rPr>
      <t>OFICINA ASESORA JURIDICA</t>
    </r>
    <r>
      <rPr>
        <sz val="11"/>
        <color theme="1"/>
        <rFont val="Arial"/>
        <family val="2"/>
      </rPr>
      <t xml:space="preserve">: Durante el mes de diciembre de 2022, la Oficina Asesora Jurídica recibió 157 peticiones y oficios tal como lo evidencia el correo que remite el control de correspondencia de la OAJ, los cuales fueron tramitados en los términos legalmente establecidos. 
Respecto a la representación judicial, se dio respuesta a 1 acción de tutela: No. 2022-00185 del Juzgado Décimo Penal para Adolescentes con Función de Control de Garantías. Se efectuaron seguimientos semanales a los procesos judiciales vigentes en la página de la rama y se realizó la correspondiente actualización de las actuaciones judiciales en el SIPROJ. Se calificó el contingente judicial correspondiente al último trimestre del 2022. Se llevó a cabo socialización de la PPPDA frente a lineamientos de derechos de petición de manera escrita por memorando para toda la entidad. Así como reiteración de la Política de Defensa Judicial. Durante el mes de diciembre de 2022 se asistió a 67 diligencias judiciales y se elaboró un (1) oficio de excusa dirigidos a los Juzgados y/o autoridades competentes. 
Así mismo, respecto a asuntos penales, se elaboraron cinco 7 denuncias. Se  realizó audiencia de lectura de decisión de sentencia absolutoria proferida por el Juzgado 11 Penal Municipal con Función de Conocimiento, así como, la audiencia de acusación realizada en el Juzgado 28 Penal Municipal con Función de Conocimiento. Se emitieron oficios de información al Dr. Adolfo Marques gestión policiva de la Secretaria de Gobierno, a la Fiscalía General de la Nación, y la Alcaldía Local de Chapinero. Se solicito información a la Fiscalía, sobre los CUIS de las denuncias presentadas, allegando respuesta.
Por otra parte, respecto a asuntos normativos se materializan cuatro (3) procedimientos: PM03-MN01 Manual De Inspección Y Vigilancia A Prestadores(As) De Servicios Para y Con Los Animales, lineamientos técnicos que deben asegurar las cuidadoras, cuidadores y hogares de paso para promover bienestar a los animales domésticos rescatados en el ejercicio de su labor en la ciudad de Bogotá, D.C y PA03-Pr11 Procedimiento Recepción y Distribución de Donación; a fin de blindar jurídicamente al instituto de un posible daño antijurídico. Se realizó control de legalidad de doce (12) actos administrativos emitidos por el IDPYBA, garantizando un blindaje jurídico al instituto, atendiendo a la Política Institucional de Prevención del Daño Antijurídico. Al realizar la actualización de las matrices de acuerdos distritales, proyectos de acuerdo y proyecto de ley, se logra realizar un seguimiento, no solo a las políticas públicas de protección y bienestar animal, sino aquella normatividad nivel nacional y territorial, que tienen repercusión en los animales no humanos y en las funciones en cabeza de la entidad.
Finalmente, respecto al Centro de Atención Jurídica se recibieron 34 consultas para asesoría jurídica, las cuales se desarrollan de manera Mixta (presencial - Virtual), haciendo que estas sean lo más personalizadas posible. EL 16 de diciembre del presente año, se realizó capacitación a referentes para la protección y Bienestar Animal (PYBA) de la alcaldía local de Suba y la secretaria Distrital de Gobierno, sobre orientación jurídica en adopciones. El 5 de diciembre del presente año, se recibió reconocimiento denominado “Distinción de Buenas Prácticas en la Gestión Jurídica Distrital” resaltando el servicio al ciudadano y dando a conocer el espacio dispuesto para la orientación jurídica de la ciudadanía.  
</t>
    </r>
  </si>
  <si>
    <r>
      <t xml:space="preserve">SUBDIRECCIÓN DE GESTIÓN CORPORATIVA: GRUPO CONTRACTUAL: 
</t>
    </r>
    <r>
      <rPr>
        <sz val="11"/>
        <color theme="1"/>
        <rFont val="Arial"/>
        <family val="2"/>
      </rPr>
      <t xml:space="preserve">Durante el periodo de diciembre desde el equipo de gestión contractual de la Subdirección de Gestión Corporativa se efectuaron 18 contratos, 48 modificaciones contractuales y novedades, 2 derechos de petición, 65 liquidaciones y se gestionaron 270 paz y salvos. </t>
    </r>
  </si>
  <si>
    <r>
      <t xml:space="preserve">EQUIPO DE ATENCIÓN AL CIUDADANO: </t>
    </r>
    <r>
      <rPr>
        <sz val="10"/>
        <color theme="1"/>
        <rFont val="Arial"/>
        <family val="2"/>
      </rPr>
      <t>Durante el mes de diciembre se radicó un total de 995 derechos de petición a través de los diferentes canales de atención, y fueron direccionados a las diferentes dependencias del IDPYBA, en el mes se respondieron 43 peticiones fuera de términos de Ley. Se realiza mesa de trabajo con las dependencia para realizar seguimiento a la calidad de las respuestas y oportunidad de los derechos de petición.
Se realizaron 2.385 asesorías a través de los canales de atención dispuestos por el IDPYBA, en donde la mayor solicitud es de entrega de turnos para esterilizaciones y el canal más utilizado es el telefónico y presencial, dado que estamos ubicados en 7 puntos de la red CADE.
El 68% de los ciudadanos se encuentra satisfechos con la atención recibida, El porcentaje de personas que se encuentran insatisfechas manifiestan inconformidad con el tiempo de gestión  de las peticiones realizadas por los ciudadanos.</t>
    </r>
  </si>
  <si>
    <r>
      <rPr>
        <b/>
        <sz val="10"/>
        <color theme="1"/>
        <rFont val="Arial"/>
        <family val="2"/>
      </rPr>
      <t>EQUIPO DE RECURSOS FÍSICOS</t>
    </r>
    <r>
      <rPr>
        <sz val="10"/>
        <color theme="1"/>
        <rFont val="Arial"/>
        <family val="2"/>
      </rPr>
      <t>: 1 -Todos los proveedores cumplieron con  la presentación del informe y soportes para generar las acciones tendientes para el pago de las obligaciones financieras del Instituto.
2- Se cumplió con los mantenimientos programados, a los vehículos de propiedad del Instituto. 
3- Se realiza la programación de los servicios que prestan los vehículos en calidad de alquiler y programación que se realiza de manera semanal de acuerdo con la solicitud de cada uno de los equipos que requieren el servicio, así mismo se da respuesta efectiva a las solicitudes extemporáneas recibidas, de acuerdo a que se realizo disminución en el numero de vehículos externos que prestan el servicio al Instituto, se redujo la prestación del servicio.</t>
    </r>
  </si>
  <si>
    <t>Vehículos asignados:</t>
  </si>
  <si>
    <r>
      <t xml:space="preserve">EQUIPO DE GESTIÓN AMBIENTAL:  </t>
    </r>
    <r>
      <rPr>
        <sz val="10"/>
        <rFont val="Arial"/>
        <family val="2"/>
      </rPr>
      <t>Durante el mes de diciembre se realizó seguimiento al contrato de residuos peligrosos con la empresa DESCONT y a la Empresa SINPLAGAX.  Adicionalmente, se desarrollaron 10 actividades de ese PIGA consistentes en:  1. Se realizó la entrega de residuos peligrosos (Cortopunzantes 11 Kg, biosanitarios 193 Kgrs, residuos de animales 1.203 Kg) a la empresa DESCONT se dejaron 5 manifiestos. Los días que asistieron a la Unidad de Cuidado Animal fue 6, 13, 21,27 y 29 de diciembre de 2022. 
2. Se realizaron las actividades de operación y mantenimiento de la PTAR.
3. Se hizo una entrega de material reciclado a la asociación de reciclaje Arcrecifront de   143 Kg en la Unidad de Cuidado Animal y 16 Kg en la Sede administrativa el día 12 de diciembre de 2022. 
4. Se continúa con las inspecciones mensuales, verificando las condiciones sanitarias y locativas de almacenamiento de los residuos. Actividad realizada el 19 y 23 de diciembre de 2022.
5. Se realizaron dos charlas sobre el buen uso de los baños, las actividades fueron realizadas los días 2 y 29 de diciembre de 2022.
6. Se realizó poda para 3.810 mt2 de zonas verdes en la Unidad de Cuidado Animal ante la empresa de aseo Bogotá Limpia SAS ESP. La actividad fue realizada el día 17 de diciembre de 2022.
7. Se realizó la recolección de medicamentos y/o vencidos por la empresa ASEI un total de 6.5 Kg. La recolección fue realizada el 22 de diciembre de 2022 en las instalaciones de la Unidad de Cuidado Animal.
8. Se realiza la actualización de las bitácoras de residuos ordinarios, peligrosos infecciosos, peligrosos administrativos y reciclados durante todo el mes de diciembre de 2022.
9. Se realizó actividad de movilidad sostenible el 6 de diciembre de 2022. Los temas tratados fueron manejo de motos, bicicletas y actividad lúdica sobre la normatividad Colombiana sobre las acciones de prevención
10.  Se actualiza las bitácoras de bici usuarios y número de viajes en el mes de diciembre de 2022 en la sede administrativa y en la Unidad de Cuidado Animal.</t>
    </r>
  </si>
  <si>
    <t>Reportes realizados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</si>
  <si>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</si>
  <si>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</si>
  <si>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Natalia Roncancio; Fredy Arizas; Johan Pulido; Laura Cabrera, Diana Gómez</t>
  </si>
  <si>
    <t>Cantidad de actividades que se ejecutaron para la implementación de los procesos transversales</t>
  </si>
  <si>
    <t xml:space="preserve">Los beneficios obtenidos para la comunidad fueron los siguientes: Se amplio el cupo de Turnos de Esterilizaciones para la comunidad en todas las Localidades                                                                                                                                                                                                                       Con el Sistema de Adopciones los usuarios podrán visualizar a través del móvil o la sede electrónica los animales (Canino o Felino) que se encuentran en proceso de adopción con su respectiva descripción, edad, si presentan condición especial, etc.                                                                                                                                                    Con el Sistema de Redes las Alcaldías Locales realizan registro y seguimiento en relación a la información de los proteccionistas a nivel distrital.					</t>
  </si>
  <si>
    <t>Subdirección de Gestión Corporativa - TIC</t>
  </si>
  <si>
    <t>Medir la implementación un plan de acción de la estrategia de los procesos TIC del Instituto acorde con los lineamientos</t>
  </si>
  <si>
    <t>Actividades que se ejecutaron para la implementación de plan de trabajo TIC/Actividades que se programaron para la implementación implementación de plan de trabajo 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</si>
</sst>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s>
  <fonts count="88"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7" tint="0.59999389629810485"/>
        <bgColor indexed="64"/>
      </patternFill>
    </fill>
    <fill>
      <patternFill patternType="solid">
        <fgColor theme="0"/>
        <bgColor rgb="FF000000"/>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cellStyleXfs>
  <cellXfs count="875">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0" fontId="54" fillId="0" borderId="36" xfId="0" applyFont="1" applyBorder="1" applyProtection="1">
      <protection hidden="1"/>
    </xf>
    <xf numFmtId="0" fontId="54" fillId="0" borderId="13" xfId="0" applyFont="1" applyBorder="1" applyProtection="1">
      <protection hidden="1"/>
    </xf>
    <xf numFmtId="0" fontId="54" fillId="0" borderId="26" xfId="0" applyFont="1" applyBorder="1" applyProtection="1">
      <protection hidden="1"/>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59" fillId="50" borderId="152" xfId="1371" applyFont="1" applyFill="1" applyBorder="1" applyAlignment="1" applyProtection="1">
      <alignment vertical="center" wrapText="1"/>
      <protection locked="0" hidden="1"/>
    </xf>
    <xf numFmtId="0" fontId="59" fillId="50" borderId="152" xfId="1371" applyFont="1" applyFill="1" applyBorder="1" applyAlignment="1" applyProtection="1">
      <alignment horizontal="justify"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0" borderId="152" xfId="1371" applyFont="1" applyBorder="1" applyAlignment="1" applyProtection="1">
      <alignment vertical="center" wrapText="1"/>
      <protection locked="0" hidden="1"/>
    </xf>
    <xf numFmtId="0" fontId="59" fillId="50" borderId="152" xfId="1371" applyFont="1" applyFill="1" applyBorder="1" applyAlignment="1" applyProtection="1">
      <alignment vertical="top"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1" fillId="0" borderId="0" xfId="0" applyFont="1" applyAlignment="1" applyProtection="1">
      <alignment horizontal="center" vertical="center"/>
      <protection hidden="1"/>
    </xf>
    <xf numFmtId="1" fontId="59" fillId="50" borderId="152" xfId="1371" applyNumberFormat="1" applyFont="1" applyFill="1" applyBorder="1" applyAlignment="1" applyProtection="1">
      <alignment horizontal="center" vertical="center" wrapText="1"/>
      <protection locked="0" hidden="1"/>
    </xf>
    <xf numFmtId="49" fontId="59" fillId="50" borderId="152" xfId="1371" applyNumberFormat="1" applyFont="1" applyFill="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4"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5" fontId="9" fillId="0" borderId="126" xfId="1250" applyFont="1" applyFill="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0" fontId="15" fillId="61" borderId="152" xfId="1371" applyFont="1" applyFill="1" applyBorder="1" applyAlignment="1" applyProtection="1">
      <alignment vertical="center" wrapText="1"/>
      <protection hidden="1"/>
    </xf>
    <xf numFmtId="2" fontId="5" fillId="0" borderId="126" xfId="1496" applyNumberFormat="1" applyFont="1" applyFill="1" applyBorder="1" applyAlignment="1" applyProtection="1">
      <alignment horizontal="center" vertical="center" wrapText="1"/>
      <protection hidden="1"/>
    </xf>
    <xf numFmtId="2" fontId="5" fillId="0" borderId="162"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9" fontId="70" fillId="0" borderId="152" xfId="0" applyNumberFormat="1" applyFont="1" applyBorder="1" applyProtection="1">
      <protection hidden="1"/>
    </xf>
    <xf numFmtId="9" fontId="70" fillId="0" borderId="152" xfId="1495" applyFont="1" applyBorder="1" applyProtection="1">
      <protection hidden="1"/>
    </xf>
    <xf numFmtId="14" fontId="12" fillId="0" borderId="152" xfId="1371" applyNumberFormat="1" applyFont="1" applyBorder="1" applyAlignment="1" applyProtection="1">
      <alignment horizontal="center" vertical="center" wrapText="1"/>
      <protection locked="0"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65" fontId="9" fillId="24" borderId="126" xfId="1250" applyFont="1" applyFill="1" applyBorder="1" applyAlignment="1" applyProtection="1">
      <alignment vertical="center" wrapText="1"/>
      <protection hidden="1"/>
    </xf>
    <xf numFmtId="1" fontId="9" fillId="24" borderId="162" xfId="1496" applyNumberFormat="1" applyFont="1" applyFill="1" applyBorder="1" applyAlignment="1" applyProtection="1">
      <alignment vertical="center" wrapText="1"/>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77" fontId="5" fillId="0" borderId="162" xfId="1496" applyNumberFormat="1" applyFont="1" applyFill="1" applyBorder="1" applyAlignment="1" applyProtection="1">
      <alignment horizontal="center" vertical="center" wrapText="1"/>
      <protection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59" fillId="0" borderId="152" xfId="0" applyFont="1" applyBorder="1" applyAlignment="1" applyProtection="1">
      <alignment horizontal="center" vertical="center"/>
      <protection hidden="1"/>
    </xf>
    <xf numFmtId="0" fontId="83" fillId="0" borderId="155" xfId="0" applyFont="1" applyBorder="1" applyAlignment="1">
      <alignment horizontal="justify" vertical="center" wrapText="1"/>
    </xf>
    <xf numFmtId="0" fontId="0" fillId="0" borderId="113" xfId="0" applyBorder="1" applyAlignment="1">
      <alignment horizontal="justify" vertical="center" wrapText="1"/>
    </xf>
    <xf numFmtId="0" fontId="83" fillId="0" borderId="159" xfId="0" applyFont="1" applyBorder="1" applyAlignment="1">
      <alignment horizontal="justify" vertical="center" wrapText="1"/>
    </xf>
    <xf numFmtId="0" fontId="0" fillId="0" borderId="0" xfId="0" applyAlignment="1">
      <alignment horizontal="justify" vertical="center" wrapText="1"/>
    </xf>
    <xf numFmtId="0" fontId="83" fillId="0" borderId="13" xfId="0" applyFont="1" applyBorder="1" applyAlignment="1">
      <alignment horizontal="justify" vertical="center" wrapText="1"/>
    </xf>
    <xf numFmtId="0" fontId="83" fillId="0" borderId="0" xfId="0" applyFont="1" applyAlignment="1">
      <alignment horizontal="justify" vertical="center" wrapText="1"/>
    </xf>
    <xf numFmtId="0" fontId="83" fillId="0" borderId="32" xfId="0" applyFont="1" applyBorder="1" applyAlignment="1">
      <alignment horizontal="justify" vertical="center" wrapText="1"/>
    </xf>
    <xf numFmtId="0" fontId="83" fillId="0" borderId="18" xfId="0" applyFont="1" applyBorder="1" applyAlignment="1">
      <alignment horizontal="justify" vertical="center" wrapText="1"/>
    </xf>
    <xf numFmtId="0" fontId="83" fillId="0" borderId="152" xfId="0" applyFont="1" applyBorder="1" applyAlignment="1">
      <alignment horizontal="center" vertical="center" wrapText="1"/>
    </xf>
    <xf numFmtId="43" fontId="51" fillId="0" borderId="0" xfId="0" applyNumberFormat="1" applyFont="1" applyProtection="1">
      <protection hidden="1"/>
    </xf>
    <xf numFmtId="3" fontId="59" fillId="0" borderId="152" xfId="0" applyNumberFormat="1" applyFont="1" applyBorder="1" applyAlignment="1" applyProtection="1">
      <alignment horizontal="center" vertical="center"/>
      <protection hidden="1"/>
    </xf>
    <xf numFmtId="178" fontId="9" fillId="66" borderId="126" xfId="1495" applyNumberFormat="1" applyFont="1" applyFill="1" applyBorder="1" applyAlignment="1">
      <alignment horizontal="center" vertical="center"/>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0" fontId="12" fillId="65" borderId="152" xfId="0" applyFont="1" applyFill="1" applyBorder="1" applyAlignment="1">
      <alignment horizontal="center" vertical="center" wrapText="1"/>
    </xf>
    <xf numFmtId="0" fontId="83" fillId="0" borderId="152" xfId="0" applyFont="1" applyBorder="1" applyAlignment="1">
      <alignment horizontal="center" vertical="center"/>
    </xf>
    <xf numFmtId="0" fontId="83" fillId="65" borderId="152" xfId="0" applyFont="1" applyFill="1" applyBorder="1" applyAlignment="1">
      <alignment horizontal="center" vertical="center" wrapText="1"/>
    </xf>
    <xf numFmtId="0" fontId="83" fillId="67" borderId="152" xfId="0" applyFont="1" applyFill="1" applyBorder="1" applyAlignment="1">
      <alignment horizontal="center" vertical="center" wrapText="1"/>
    </xf>
    <xf numFmtId="164" fontId="59" fillId="0" borderId="0" xfId="1251" applyFont="1" applyFill="1" applyBorder="1" applyAlignment="1" applyProtection="1">
      <alignment horizontal="center" vertical="center" wrapText="1"/>
      <protection hidden="1"/>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0" fontId="5" fillId="50" borderId="155" xfId="0" applyNumberFormat="1" applyFont="1" applyFill="1" applyBorder="1" applyAlignment="1" applyProtection="1">
      <alignment horizontal="center" vertical="center" wrapText="1"/>
      <protection hidden="1"/>
    </xf>
    <xf numFmtId="170" fontId="5" fillId="50" borderId="159"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170"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70" fillId="50" borderId="155" xfId="0" applyNumberFormat="1" applyFont="1" applyFill="1" applyBorder="1" applyAlignment="1" applyProtection="1">
      <alignment horizontal="center" vertical="center" wrapText="1"/>
      <protection hidden="1"/>
    </xf>
    <xf numFmtId="170" fontId="70" fillId="50" borderId="159"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1"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12" fillId="0" borderId="50" xfId="1371" applyFont="1" applyBorder="1" applyAlignment="1" applyProtection="1">
      <alignment horizontal="center" vertical="center" wrapText="1"/>
      <protection locked="0" hidden="1"/>
    </xf>
    <xf numFmtId="0" fontId="12" fillId="0" borderId="51"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5" fillId="50" borderId="126" xfId="1371" applyFont="1" applyFill="1" applyBorder="1" applyAlignment="1" applyProtection="1">
      <alignment horizontal="justify" vertical="center" wrapText="1"/>
      <protection locked="0" hidden="1"/>
    </xf>
    <xf numFmtId="0" fontId="5" fillId="50" borderId="127" xfId="1371" applyFont="1" applyFill="1" applyBorder="1" applyAlignment="1" applyProtection="1">
      <alignment horizontal="justify" vertical="center" wrapText="1"/>
      <protection locked="0" hidden="1"/>
    </xf>
    <xf numFmtId="0" fontId="5" fillId="50" borderId="162" xfId="1371" applyFont="1" applyFill="1" applyBorder="1" applyAlignment="1" applyProtection="1">
      <alignment horizontal="justify" vertical="center"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0" fontId="59" fillId="50" borderId="126" xfId="1371" applyFont="1" applyFill="1" applyBorder="1" applyAlignment="1" applyProtection="1">
      <alignment horizontal="left" vertical="center" wrapText="1"/>
      <protection locked="0" hidden="1"/>
    </xf>
    <xf numFmtId="0" fontId="59" fillId="50" borderId="127" xfId="1371" applyFont="1" applyFill="1" applyBorder="1" applyAlignment="1" applyProtection="1">
      <alignment horizontal="left" vertical="center" wrapText="1"/>
      <protection locked="0" hidden="1"/>
    </xf>
    <xf numFmtId="0" fontId="59" fillId="50" borderId="162" xfId="1371" applyFont="1" applyFill="1" applyBorder="1" applyAlignment="1" applyProtection="1">
      <alignment horizontal="left"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179" fontId="5" fillId="50" borderId="156" xfId="1250" applyNumberFormat="1" applyFont="1" applyFill="1" applyBorder="1" applyAlignment="1" applyProtection="1">
      <alignment horizontal="center" vertical="center" wrapText="1"/>
      <protection locked="0" hidden="1"/>
    </xf>
    <xf numFmtId="179" fontId="5" fillId="50" borderId="23" xfId="1250" applyNumberFormat="1" applyFont="1" applyFill="1" applyBorder="1" applyAlignment="1" applyProtection="1">
      <alignment horizontal="center" vertical="center" wrapText="1"/>
      <protection locked="0" hidden="1"/>
    </xf>
    <xf numFmtId="179" fontId="5" fillId="50" borderId="15" xfId="1250" applyNumberFormat="1" applyFont="1" applyFill="1" applyBorder="1" applyAlignment="1" applyProtection="1">
      <alignment horizontal="center" vertical="center" wrapText="1"/>
      <protection locked="0" hidden="1"/>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5" fontId="5" fillId="0" borderId="126" xfId="1496" applyNumberFormat="1" applyFont="1" applyFill="1" applyBorder="1" applyAlignment="1" applyProtection="1">
      <alignment horizontal="center" vertical="center" wrapText="1"/>
      <protection hidden="1"/>
    </xf>
    <xf numFmtId="175" fontId="5" fillId="0" borderId="127" xfId="1496" applyNumberFormat="1" applyFont="1" applyFill="1" applyBorder="1" applyAlignment="1" applyProtection="1">
      <alignment horizontal="center" vertical="center" wrapText="1"/>
      <protection hidden="1"/>
    </xf>
    <xf numFmtId="175" fontId="5" fillId="0" borderId="162" xfId="1496"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6" fillId="0" borderId="152" xfId="1371" applyFont="1" applyBorder="1" applyAlignment="1" applyProtection="1">
      <alignment horizontal="center" vertical="center"/>
      <protection hidden="1"/>
    </xf>
    <xf numFmtId="0" fontId="76"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57"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5" fillId="0" borderId="152" xfId="0" applyFont="1" applyBorder="1" applyAlignment="1" applyProtection="1">
      <alignment horizontal="center" vertical="center" wrapText="1"/>
      <protection locked="0" hidden="1"/>
    </xf>
    <xf numFmtId="0" fontId="75" fillId="0" borderId="50" xfId="0"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50" borderId="126" xfId="1371" applyFont="1" applyFill="1" applyBorder="1" applyAlignment="1" applyProtection="1">
      <alignment horizontal="center" vertical="center" wrapText="1"/>
      <protection locked="0" hidden="1"/>
    </xf>
    <xf numFmtId="0" fontId="70" fillId="50" borderId="127" xfId="1371" applyFont="1" applyFill="1" applyBorder="1" applyAlignment="1" applyProtection="1">
      <alignment horizontal="center" vertical="center" wrapText="1"/>
      <protection locked="0" hidden="1"/>
    </xf>
    <xf numFmtId="0" fontId="70" fillId="50" borderId="162" xfId="1371" applyFont="1" applyFill="1" applyBorder="1" applyAlignment="1" applyProtection="1">
      <alignment horizontal="center" vertical="center" wrapText="1"/>
      <protection locked="0" hidden="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2" fillId="65" borderId="155" xfId="0" applyFont="1" applyFill="1" applyBorder="1" applyAlignment="1">
      <alignment horizontal="center" vertical="center" wrapText="1"/>
    </xf>
    <xf numFmtId="0" fontId="82" fillId="65" borderId="159" xfId="0" applyFont="1" applyFill="1" applyBorder="1" applyAlignment="1">
      <alignment horizontal="center" vertical="center" wrapText="1"/>
    </xf>
    <xf numFmtId="0" fontId="82" fillId="65" borderId="160" xfId="0" applyFont="1" applyFill="1" applyBorder="1" applyAlignment="1">
      <alignment horizontal="center" vertical="center" wrapText="1"/>
    </xf>
    <xf numFmtId="0" fontId="82" fillId="65" borderId="113" xfId="0" applyFont="1" applyFill="1" applyBorder="1" applyAlignment="1">
      <alignment horizontal="center" vertical="center" wrapText="1"/>
    </xf>
    <xf numFmtId="0" fontId="82" fillId="65" borderId="0" xfId="0" applyFont="1" applyFill="1" applyAlignment="1">
      <alignment horizontal="center" vertical="center" wrapText="1"/>
    </xf>
    <xf numFmtId="0" fontId="82" fillId="65" borderId="16" xfId="0" applyFont="1" applyFill="1" applyBorder="1" applyAlignment="1">
      <alignment horizontal="center" vertical="center" wrapText="1"/>
    </xf>
    <xf numFmtId="0" fontId="82" fillId="65" borderId="17" xfId="0" applyFont="1" applyFill="1" applyBorder="1" applyAlignment="1">
      <alignment horizontal="center" vertical="center" wrapText="1"/>
    </xf>
    <xf numFmtId="0" fontId="82" fillId="65" borderId="18" xfId="0" applyFont="1" applyFill="1" applyBorder="1" applyAlignment="1">
      <alignment horizontal="center" vertical="center" wrapText="1"/>
    </xf>
    <xf numFmtId="0" fontId="82"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75" fillId="0" borderId="20" xfId="0" applyFont="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0" fontId="54" fillId="50" borderId="126" xfId="1371" applyFont="1" applyFill="1" applyBorder="1" applyAlignment="1" applyProtection="1">
      <alignment horizontal="justify" vertical="top" wrapText="1"/>
      <protection locked="0"/>
    </xf>
    <xf numFmtId="0" fontId="54" fillId="50" borderId="127" xfId="1371" applyFont="1" applyFill="1" applyBorder="1" applyAlignment="1" applyProtection="1">
      <alignment horizontal="justify" vertical="top" wrapText="1"/>
      <protection locked="0"/>
    </xf>
    <xf numFmtId="0" fontId="54" fillId="50" borderId="161" xfId="1371" applyFont="1" applyFill="1" applyBorder="1" applyAlignment="1" applyProtection="1">
      <alignment horizontal="justify" vertical="top"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6" fillId="0" borderId="152" xfId="1371" applyFont="1" applyBorder="1" applyAlignment="1" applyProtection="1">
      <alignment horizontal="center" vertical="center" wrapText="1"/>
      <protection hidden="1"/>
    </xf>
    <xf numFmtId="0" fontId="76" fillId="0" borderId="153" xfId="137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57" fillId="0" borderId="152" xfId="0"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8" fillId="61" borderId="32" xfId="1371" applyFont="1" applyFill="1" applyBorder="1" applyAlignment="1" applyProtection="1">
      <alignment horizontal="center" vertical="center" wrapText="1"/>
      <protection hidden="1"/>
    </xf>
    <xf numFmtId="0" fontId="59" fillId="0" borderId="159" xfId="1371" applyFont="1" applyBorder="1" applyAlignment="1" applyProtection="1">
      <alignment horizontal="center" vertical="center" wrapText="1"/>
      <protection hidden="1"/>
    </xf>
    <xf numFmtId="0" fontId="59" fillId="0" borderId="16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16" xfId="1371" applyFont="1" applyBorder="1" applyAlignment="1" applyProtection="1">
      <alignment horizontal="center" vertical="center" wrapText="1"/>
      <protection hidden="1"/>
    </xf>
    <xf numFmtId="0" fontId="59" fillId="0" borderId="18" xfId="1371" applyFont="1" applyBorder="1" applyAlignment="1" applyProtection="1">
      <alignment horizontal="center" vertical="center" wrapText="1"/>
      <protection hidden="1"/>
    </xf>
    <xf numFmtId="0" fontId="59" fillId="0" borderId="19" xfId="1371" applyFont="1" applyBorder="1" applyAlignment="1" applyProtection="1">
      <alignment horizontal="center" vertical="center" wrapText="1"/>
      <protection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9" fillId="50" borderId="126" xfId="1371" applyFont="1" applyFill="1" applyBorder="1" applyAlignment="1" applyProtection="1">
      <alignment horizontal="justify" vertical="top" wrapText="1"/>
      <protection locked="0" hidden="1"/>
    </xf>
    <xf numFmtId="0" fontId="59" fillId="50" borderId="127" xfId="1371" applyFont="1" applyFill="1" applyBorder="1" applyAlignment="1" applyProtection="1">
      <alignment horizontal="justify" vertical="top" wrapText="1"/>
      <protection locked="0" hidden="1"/>
    </xf>
    <xf numFmtId="0" fontId="59" fillId="50" borderId="162" xfId="1371" applyFont="1" applyFill="1" applyBorder="1" applyAlignment="1" applyProtection="1">
      <alignment horizontal="justify" vertical="top"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24" borderId="126" xfId="1495" applyFont="1" applyFill="1" applyBorder="1" applyAlignment="1" applyProtection="1">
      <alignment horizontal="center" vertical="center" wrapText="1"/>
      <protection hidden="1"/>
    </xf>
    <xf numFmtId="9" fontId="9" fillId="24" borderId="127" xfId="1495" applyFont="1" applyFill="1" applyBorder="1" applyAlignment="1" applyProtection="1">
      <alignment horizontal="center" vertical="center" wrapText="1"/>
      <protection hidden="1"/>
    </xf>
    <xf numFmtId="9" fontId="9" fillId="24"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9"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7" fillId="50" borderId="155" xfId="1371" applyFont="1" applyFill="1" applyBorder="1" applyAlignment="1" applyProtection="1">
      <alignment horizontal="left" vertical="top" wrapText="1"/>
      <protection locked="0"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70" fillId="50" borderId="152" xfId="1371" applyFont="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5" fillId="0" borderId="126" xfId="1371" applyFont="1" applyBorder="1" applyAlignment="1" applyProtection="1">
      <alignment horizontal="left" vertical="center" wrapText="1"/>
      <protection hidden="1"/>
    </xf>
    <xf numFmtId="0" fontId="5" fillId="0" borderId="127" xfId="1371" applyFont="1" applyBorder="1" applyAlignment="1" applyProtection="1">
      <alignment horizontal="left" vertical="center" wrapText="1"/>
      <protection hidden="1"/>
    </xf>
    <xf numFmtId="0" fontId="5" fillId="0" borderId="162" xfId="1371" applyFont="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7" fillId="0" borderId="152" xfId="1371" applyFont="1" applyBorder="1" applyAlignment="1" applyProtection="1">
      <alignment horizontal="left" vertical="center" wrapText="1"/>
      <protection hidden="1"/>
    </xf>
    <xf numFmtId="0" fontId="77" fillId="0" borderId="153" xfId="1371" applyFont="1" applyBorder="1" applyAlignment="1" applyProtection="1">
      <alignment horizontal="left" vertical="center" wrapText="1"/>
      <protection hidden="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77" fontId="12" fillId="0" borderId="156" xfId="1250" applyNumberFormat="1" applyFont="1" applyFill="1" applyBorder="1" applyAlignment="1" applyProtection="1">
      <alignment horizontal="center" vertical="center" wrapText="1"/>
      <protection locked="0" hidden="1"/>
    </xf>
    <xf numFmtId="177" fontId="12" fillId="0" borderId="23" xfId="1250" applyNumberFormat="1" applyFont="1" applyFill="1" applyBorder="1" applyAlignment="1" applyProtection="1">
      <alignment horizontal="center" vertical="center" wrapText="1"/>
      <protection locked="0" hidden="1"/>
    </xf>
    <xf numFmtId="177" fontId="12" fillId="0" borderId="15" xfId="1250" applyNumberFormat="1" applyFont="1" applyFill="1" applyBorder="1" applyAlignment="1" applyProtection="1">
      <alignment horizontal="center" vertical="center" wrapText="1"/>
      <protection locked="0" hidden="1"/>
    </xf>
    <xf numFmtId="176" fontId="12" fillId="0" borderId="156" xfId="1250" applyNumberFormat="1" applyFont="1" applyFill="1" applyBorder="1" applyAlignment="1" applyProtection="1">
      <alignment horizontal="center" vertical="center" wrapText="1"/>
      <protection locked="0" hidden="1"/>
    </xf>
    <xf numFmtId="176" fontId="12" fillId="0" borderId="23" xfId="1250" applyNumberFormat="1" applyFont="1" applyFill="1" applyBorder="1" applyAlignment="1" applyProtection="1">
      <alignment horizontal="center" vertical="center" wrapText="1"/>
      <protection locked="0" hidden="1"/>
    </xf>
    <xf numFmtId="176" fontId="12" fillId="0" borderId="15" xfId="1250" applyNumberFormat="1"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1" fillId="65" borderId="113" xfId="0" applyFont="1" applyFill="1" applyBorder="1" applyAlignment="1">
      <alignment horizontal="justify" vertical="center" wrapText="1"/>
    </xf>
    <xf numFmtId="0" fontId="81" fillId="65" borderId="0" xfId="0" applyFont="1" applyFill="1" applyAlignment="1">
      <alignment horizontal="justify" vertical="center" wrapText="1"/>
    </xf>
    <xf numFmtId="0" fontId="81" fillId="65" borderId="17" xfId="0" applyFont="1" applyFill="1" applyBorder="1" applyAlignment="1">
      <alignment horizontal="justify" vertical="center" wrapText="1"/>
    </xf>
    <xf numFmtId="0" fontId="81" fillId="65" borderId="18" xfId="0" applyFont="1" applyFill="1" applyBorder="1" applyAlignment="1">
      <alignment horizontal="justify" vertical="center" wrapText="1"/>
    </xf>
    <xf numFmtId="0" fontId="80" fillId="24" borderId="0" xfId="1371" applyFont="1" applyFill="1" applyAlignment="1" applyProtection="1">
      <alignment horizontal="center" vertical="center"/>
      <protection hidden="1"/>
    </xf>
    <xf numFmtId="0" fontId="81" fillId="65" borderId="155" xfId="0" applyFont="1" applyFill="1" applyBorder="1" applyAlignment="1">
      <alignment horizontal="justify" vertical="center" wrapText="1"/>
    </xf>
    <xf numFmtId="0" fontId="81" fillId="65" borderId="159" xfId="0" applyFont="1" applyFill="1" applyBorder="1" applyAlignment="1">
      <alignment horizontal="justify" vertical="center" wrapText="1"/>
    </xf>
    <xf numFmtId="0" fontId="9" fillId="0" borderId="78" xfId="1371" applyFont="1" applyBorder="1" applyAlignment="1" applyProtection="1">
      <alignment horizontal="center" vertical="center" wrapText="1"/>
      <protection locked="0" hidden="1"/>
    </xf>
    <xf numFmtId="0" fontId="9" fillId="0" borderId="79" xfId="1371" applyFont="1" applyBorder="1" applyAlignment="1" applyProtection="1">
      <alignment horizontal="center" vertical="center" wrapText="1"/>
      <protection locked="0" hidden="1"/>
    </xf>
    <xf numFmtId="0" fontId="9" fillId="0" borderId="80" xfId="1371"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xf>
    <xf numFmtId="0" fontId="9" fillId="0" borderId="153" xfId="1371" applyFont="1" applyBorder="1" applyAlignment="1" applyProtection="1">
      <alignment horizontal="center" vertical="center" wrapText="1"/>
      <protection locked="0"/>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4" fillId="0" borderId="17" xfId="1371" applyFont="1" applyBorder="1" applyAlignment="1" applyProtection="1">
      <alignment horizontal="left" vertical="top" wrapText="1"/>
      <protection locked="0" hidden="1"/>
    </xf>
    <xf numFmtId="0" fontId="54" fillId="0" borderId="18" xfId="1371" applyFont="1" applyBorder="1" applyAlignment="1" applyProtection="1">
      <alignment horizontal="left" vertical="top" wrapText="1"/>
      <protection locked="0" hidden="1"/>
    </xf>
    <xf numFmtId="0" fontId="54" fillId="0" borderId="19" xfId="1371" applyFont="1" applyBorder="1" applyAlignment="1" applyProtection="1">
      <alignment horizontal="left" vertical="top" wrapText="1"/>
      <protection locked="0" hidden="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0" borderId="126" xfId="1371" applyFont="1" applyBorder="1" applyAlignment="1" applyProtection="1">
      <alignment horizontal="left" vertical="center" wrapText="1"/>
      <protection locked="0" hidden="1"/>
    </xf>
    <xf numFmtId="0" fontId="54" fillId="0" borderId="127" xfId="1371" applyFont="1" applyBorder="1" applyAlignment="1" applyProtection="1">
      <alignment horizontal="left" vertical="center" wrapText="1"/>
      <protection locked="0" hidden="1"/>
    </xf>
    <xf numFmtId="0" fontId="54" fillId="0" borderId="162" xfId="1371" applyFont="1" applyBorder="1" applyAlignment="1" applyProtection="1">
      <alignment horizontal="left" vertical="center" wrapText="1"/>
      <protection locked="0" hidden="1"/>
    </xf>
    <xf numFmtId="0" fontId="55" fillId="0" borderId="155" xfId="1371" applyFont="1" applyBorder="1" applyAlignment="1" applyProtection="1">
      <alignment horizontal="left" vertical="center" wrapText="1"/>
      <protection locked="0" hidden="1"/>
    </xf>
    <xf numFmtId="0" fontId="55" fillId="0" borderId="159" xfId="1371" applyFont="1" applyBorder="1" applyAlignment="1" applyProtection="1">
      <alignment horizontal="left" vertical="center" wrapText="1"/>
      <protection locked="0" hidden="1"/>
    </xf>
    <xf numFmtId="0" fontId="55" fillId="0" borderId="113" xfId="1371" applyFont="1" applyBorder="1" applyAlignment="1" applyProtection="1">
      <alignment horizontal="left" vertical="center" wrapText="1"/>
      <protection locked="0" hidden="1"/>
    </xf>
    <xf numFmtId="0" fontId="55" fillId="0" borderId="0" xfId="1371" applyFont="1" applyAlignment="1" applyProtection="1">
      <alignment horizontal="left" vertical="center" wrapText="1"/>
      <protection locked="0" hidden="1"/>
    </xf>
    <xf numFmtId="0" fontId="87" fillId="0" borderId="159" xfId="0" applyFont="1" applyBorder="1" applyAlignment="1">
      <alignment horizontal="left" vertical="center" wrapText="1"/>
    </xf>
    <xf numFmtId="0" fontId="87" fillId="0" borderId="160" xfId="0" applyFont="1" applyBorder="1" applyAlignment="1">
      <alignment horizontal="left" vertical="center" wrapText="1"/>
    </xf>
    <xf numFmtId="0" fontId="87" fillId="0" borderId="0" xfId="0" applyFont="1" applyAlignment="1">
      <alignment horizontal="left" vertical="center" wrapText="1"/>
    </xf>
    <xf numFmtId="0" fontId="87" fillId="0" borderId="16" xfId="0" applyFont="1" applyBorder="1" applyAlignment="1">
      <alignment horizontal="left" vertical="center" wrapText="1"/>
    </xf>
    <xf numFmtId="0" fontId="87" fillId="0" borderId="18" xfId="0" applyFont="1" applyBorder="1" applyAlignment="1">
      <alignment horizontal="left" vertical="center" wrapText="1"/>
    </xf>
    <xf numFmtId="0" fontId="87" fillId="0" borderId="19" xfId="0" applyFont="1" applyBorder="1" applyAlignment="1">
      <alignment horizontal="left" vertical="center" wrapText="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165" fontId="9" fillId="50" borderId="154" xfId="1250" applyFont="1" applyFill="1" applyBorder="1" applyAlignment="1" applyProtection="1">
      <alignment horizontal="center" vertical="center" wrapText="1"/>
      <protection locked="0" hidden="1"/>
    </xf>
    <xf numFmtId="165" fontId="9" fillId="50" borderId="47" xfId="1250" applyFont="1" applyFill="1" applyBorder="1" applyAlignment="1" applyProtection="1">
      <alignment horizontal="center" vertical="center" wrapText="1"/>
      <protection locked="0" hidden="1"/>
    </xf>
    <xf numFmtId="165" fontId="9" fillId="50" borderId="48"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59" fillId="50" borderId="126" xfId="1371" applyFont="1" applyFill="1" applyBorder="1" applyAlignment="1" applyProtection="1">
      <alignment horizontal="left" vertical="center" wrapText="1"/>
      <protection locked="0"/>
    </xf>
    <xf numFmtId="0" fontId="59" fillId="50" borderId="127" xfId="1371" applyFont="1" applyFill="1" applyBorder="1" applyAlignment="1" applyProtection="1">
      <alignment horizontal="left" vertical="center" wrapText="1"/>
      <protection locked="0"/>
    </xf>
    <xf numFmtId="0" fontId="59" fillId="50" borderId="162" xfId="1371" applyFont="1" applyFill="1" applyBorder="1" applyAlignment="1" applyProtection="1">
      <alignment horizontal="left" vertical="center" wrapText="1"/>
      <protection locked="0"/>
    </xf>
    <xf numFmtId="0" fontId="59" fillId="0" borderId="155" xfId="1371" applyFont="1" applyBorder="1" applyAlignment="1" applyProtection="1">
      <alignment horizontal="left" vertical="center" wrapText="1"/>
      <protection locked="0"/>
    </xf>
    <xf numFmtId="0" fontId="59" fillId="0" borderId="159" xfId="1371" applyFont="1" applyBorder="1" applyAlignment="1" applyProtection="1">
      <alignment horizontal="left" vertical="center" wrapText="1"/>
      <protection locked="0"/>
    </xf>
    <xf numFmtId="0" fontId="59" fillId="0" borderId="160" xfId="1371" applyFont="1" applyBorder="1" applyAlignment="1" applyProtection="1">
      <alignment horizontal="left" vertical="center" wrapText="1"/>
      <protection locked="0"/>
    </xf>
    <xf numFmtId="0" fontId="59" fillId="0" borderId="113" xfId="1371" applyFont="1" applyBorder="1" applyAlignment="1" applyProtection="1">
      <alignment horizontal="left" vertical="center" wrapText="1"/>
      <protection locked="0"/>
    </xf>
    <xf numFmtId="0" fontId="59" fillId="0" borderId="0" xfId="1371" applyFont="1" applyAlignment="1" applyProtection="1">
      <alignment horizontal="left" vertical="center" wrapText="1"/>
      <protection locked="0"/>
    </xf>
    <xf numFmtId="0" fontId="59" fillId="0" borderId="16" xfId="1371" applyFont="1" applyBorder="1" applyAlignment="1" applyProtection="1">
      <alignment horizontal="left" vertical="center" wrapText="1"/>
      <protection locked="0"/>
    </xf>
    <xf numFmtId="0" fontId="59" fillId="0" borderId="17" xfId="1371" applyFont="1" applyBorder="1" applyAlignment="1" applyProtection="1">
      <alignment horizontal="left" vertical="center" wrapText="1"/>
      <protection locked="0"/>
    </xf>
    <xf numFmtId="0" fontId="59" fillId="0" borderId="18" xfId="1371" applyFont="1" applyBorder="1" applyAlignment="1" applyProtection="1">
      <alignment horizontal="left" vertical="center" wrapText="1"/>
      <protection locked="0"/>
    </xf>
    <xf numFmtId="0" fontId="59" fillId="0" borderId="19" xfId="1371" applyFont="1" applyBorder="1" applyAlignment="1" applyProtection="1">
      <alignment horizontal="left" vertical="center" wrapText="1"/>
      <protection locked="0"/>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2.5679999999999998E-2</c:v>
                </c:pt>
                <c:pt idx="5">
                  <c:v>7.6960000000000001E-2</c:v>
                </c:pt>
                <c:pt idx="6">
                  <c:v>0</c:v>
                </c:pt>
                <c:pt idx="7">
                  <c:v>0</c:v>
                </c:pt>
                <c:pt idx="8">
                  <c:v>0</c:v>
                </c:pt>
                <c:pt idx="9">
                  <c:v>0</c:v>
                </c:pt>
                <c:pt idx="10">
                  <c:v>0</c:v>
                </c:pt>
                <c:pt idx="11">
                  <c:v>0</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2.5679999999999998E-2</c:v>
                </c:pt>
                <c:pt idx="5">
                  <c:v>7.6960000000000001E-2</c:v>
                </c:pt>
                <c:pt idx="6">
                  <c:v>0</c:v>
                </c:pt>
                <c:pt idx="7">
                  <c:v>0</c:v>
                </c:pt>
                <c:pt idx="8">
                  <c:v>0</c:v>
                </c:pt>
                <c:pt idx="9">
                  <c:v>0</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0.16675324675324674</c:v>
                </c:pt>
                <c:pt idx="3">
                  <c:v>0.33350649350649347</c:v>
                </c:pt>
                <c:pt idx="4">
                  <c:v>0.50025974025974018</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0.83300000000000007</c:v>
                </c:pt>
                <c:pt idx="10">
                  <c:v>0.91630000000000011</c:v>
                </c:pt>
                <c:pt idx="11">
                  <c:v>0.99960000000000016</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1.6679999999999997E-2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1.917E-2</c:v>
                </c:pt>
                <c:pt idx="2">
                  <c:v>1.6980000000000002E-2</c:v>
                </c:pt>
                <c:pt idx="3">
                  <c:v>3.1829999999999997E-2</c:v>
                </c:pt>
                <c:pt idx="4">
                  <c:v>1.6980000000000002E-2</c:v>
                </c:pt>
                <c:pt idx="5">
                  <c:v>1.728E-2</c:v>
                </c:pt>
                <c:pt idx="6">
                  <c:v>3.3270000000000001E-2</c:v>
                </c:pt>
                <c:pt idx="7">
                  <c:v>2.6880000000000005E-2</c:v>
                </c:pt>
                <c:pt idx="8">
                  <c:v>2.5049999999999996E-2</c:v>
                </c:pt>
                <c:pt idx="9">
                  <c:v>4.7460000000000002E-2</c:v>
                </c:pt>
                <c:pt idx="10">
                  <c:v>2.3699999999999999E-2</c:v>
                </c:pt>
                <c:pt idx="11">
                  <c:v>1.6049999999999998E-2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c:v>
                </c:pt>
                <c:pt idx="2">
                  <c:v>0.21060000000000001</c:v>
                </c:pt>
                <c:pt idx="3">
                  <c:v>0.31669999999999998</c:v>
                </c:pt>
                <c:pt idx="4">
                  <c:v>0.37329999999999997</c:v>
                </c:pt>
                <c:pt idx="5">
                  <c:v>0.43089999999999995</c:v>
                </c:pt>
                <c:pt idx="6">
                  <c:v>0.54179999999999995</c:v>
                </c:pt>
                <c:pt idx="7">
                  <c:v>0.63139999999999996</c:v>
                </c:pt>
                <c:pt idx="8">
                  <c:v>0.71489999999999998</c:v>
                </c:pt>
                <c:pt idx="9">
                  <c:v>0.87309999999999999</c:v>
                </c:pt>
                <c:pt idx="10">
                  <c:v>0.95209999999999995</c:v>
                </c:pt>
                <c:pt idx="11">
                  <c:v>1</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0.01</c:v>
                </c:pt>
                <c:pt idx="2">
                  <c:v>0.01</c:v>
                </c:pt>
                <c:pt idx="3">
                  <c:v>0.01</c:v>
                </c:pt>
                <c:pt idx="4">
                  <c:v>0.06</c:v>
                </c:pt>
                <c:pt idx="5">
                  <c:v>1.43E-2</c:v>
                </c:pt>
                <c:pt idx="6">
                  <c:v>1.43E-2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0.01</c:v>
                </c:pt>
                <c:pt idx="2">
                  <c:v>0.01</c:v>
                </c:pt>
                <c:pt idx="3">
                  <c:v>0.01</c:v>
                </c:pt>
                <c:pt idx="4">
                  <c:v>0.06</c:v>
                </c:pt>
                <c:pt idx="5">
                  <c:v>1.43E-2</c:v>
                </c:pt>
                <c:pt idx="6">
                  <c:v>1.43E-2</c:v>
                </c:pt>
                <c:pt idx="7">
                  <c:v>1.4279999999999998E-2</c:v>
                </c:pt>
                <c:pt idx="8">
                  <c:v>3.4299999999999997E-2</c:v>
                </c:pt>
                <c:pt idx="9">
                  <c:v>1.4279999999999998E-2</c:v>
                </c:pt>
                <c:pt idx="10">
                  <c:v>1.4279999999999998E-2</c:v>
                </c:pt>
                <c:pt idx="11">
                  <c:v>1.4279999999999998E-2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0.33333333333333331</c:v>
                </c:pt>
                <c:pt idx="2">
                  <c:v>0.36666666666666664</c:v>
                </c:pt>
                <c:pt idx="3">
                  <c:v>0.39999999999999997</c:v>
                </c:pt>
                <c:pt idx="4">
                  <c:v>0.6</c:v>
                </c:pt>
                <c:pt idx="5">
                  <c:v>0.64766666666666661</c:v>
                </c:pt>
                <c:pt idx="6">
                  <c:v>0.69533333333333325</c:v>
                </c:pt>
                <c:pt idx="7">
                  <c:v>0.74293333333333322</c:v>
                </c:pt>
                <c:pt idx="8">
                  <c:v>0.85726666666666651</c:v>
                </c:pt>
                <c:pt idx="9">
                  <c:v>0.90486666666666649</c:v>
                </c:pt>
                <c:pt idx="10">
                  <c:v>0.95246666666666646</c:v>
                </c:pt>
                <c:pt idx="11">
                  <c:v>1.0000666666666664</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0.83300000000000007</c:v>
                </c:pt>
                <c:pt idx="10">
                  <c:v>0.91630000000000011</c:v>
                </c:pt>
                <c:pt idx="11">
                  <c:v>0.99960000000000016</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0.25650000000000001</c:v>
                </c:pt>
                <c:pt idx="2">
                  <c:v>0.25439999999999996</c:v>
                </c:pt>
                <c:pt idx="3">
                  <c:v>0.23099999999999998</c:v>
                </c:pt>
                <c:pt idx="4">
                  <c:v>0.23039999999999999</c:v>
                </c:pt>
                <c:pt idx="5">
                  <c:v>0.28439999999999999</c:v>
                </c:pt>
                <c:pt idx="6">
                  <c:v>0.23099999999999998</c:v>
                </c:pt>
                <c:pt idx="7">
                  <c:v>0.23039999999999999</c:v>
                </c:pt>
                <c:pt idx="8">
                  <c:v>0.24689999999999998</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0.25229999999999997</c:v>
                </c:pt>
                <c:pt idx="3">
                  <c:v>0.21359999999999998</c:v>
                </c:pt>
                <c:pt idx="4">
                  <c:v>0.1893</c:v>
                </c:pt>
                <c:pt idx="5">
                  <c:v>0.32500000000000001</c:v>
                </c:pt>
                <c:pt idx="6">
                  <c:v>0.23099999999999998</c:v>
                </c:pt>
                <c:pt idx="7">
                  <c:v>0.23760000000000001</c:v>
                </c:pt>
                <c:pt idx="8">
                  <c:v>0.2412</c:v>
                </c:pt>
                <c:pt idx="9">
                  <c:v>0.27989999999999998</c:v>
                </c:pt>
                <c:pt idx="10">
                  <c:v>0.29430000000000001</c:v>
                </c:pt>
                <c:pt idx="11">
                  <c:v>0.27150000000000002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2.3659999999999997</c:v>
                </c:pt>
                <c:pt idx="3">
                  <c:v>3.0779999999999994</c:v>
                </c:pt>
                <c:pt idx="4">
                  <c:v>3.7089999999999996</c:v>
                </c:pt>
                <c:pt idx="5">
                  <c:v>4.7923333333333336</c:v>
                </c:pt>
                <c:pt idx="6">
                  <c:v>5.5623333333333331</c:v>
                </c:pt>
                <c:pt idx="7">
                  <c:v>6.3543333333333329</c:v>
                </c:pt>
                <c:pt idx="8">
                  <c:v>7.1583333333333332</c:v>
                </c:pt>
                <c:pt idx="9">
                  <c:v>8.091333333333333</c:v>
                </c:pt>
                <c:pt idx="10">
                  <c:v>9.0723333333333329</c:v>
                </c:pt>
                <c:pt idx="11">
                  <c:v>9.9773333333333323</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1.4539000000000002E-2</c:v>
                </c:pt>
                <c:pt idx="1">
                  <c:v>1.8041999999999999E-2</c:v>
                </c:pt>
                <c:pt idx="2">
                  <c:v>3.6642000000000001E-2</c:v>
                </c:pt>
                <c:pt idx="3">
                  <c:v>2.511E-2</c:v>
                </c:pt>
                <c:pt idx="4">
                  <c:v>2.0863E-2</c:v>
                </c:pt>
                <c:pt idx="5">
                  <c:v>3.1309999999999998E-2</c:v>
                </c:pt>
                <c:pt idx="6">
                  <c:v>2.1947999999999999E-2</c:v>
                </c:pt>
                <c:pt idx="7">
                  <c:v>2.1947999999999999E-2</c:v>
                </c:pt>
                <c:pt idx="8">
                  <c:v>3.6672999999999997E-2</c:v>
                </c:pt>
                <c:pt idx="9">
                  <c:v>2.5822999999999999E-2</c:v>
                </c:pt>
                <c:pt idx="10">
                  <c:v>2.1793E-2</c:v>
                </c:pt>
                <c:pt idx="11">
                  <c:v>3.5278000000000004E-2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1.4539000000000002E-2</c:v>
                </c:pt>
                <c:pt idx="1">
                  <c:v>3.1E-2</c:v>
                </c:pt>
                <c:pt idx="2">
                  <c:v>2.6784000000000002E-2</c:v>
                </c:pt>
                <c:pt idx="3">
                  <c:v>1.6306000000000001E-2</c:v>
                </c:pt>
                <c:pt idx="4">
                  <c:v>2.0863E-2</c:v>
                </c:pt>
                <c:pt idx="5">
                  <c:v>3.1309999999999998E-2</c:v>
                </c:pt>
                <c:pt idx="6">
                  <c:v>2.1947999999999999E-2</c:v>
                </c:pt>
                <c:pt idx="7">
                  <c:v>1.9817658006149999E-2</c:v>
                </c:pt>
                <c:pt idx="8">
                  <c:v>2.8798999999999998E-2</c:v>
                </c:pt>
                <c:pt idx="9">
                  <c:v>3.2921999999999993E-2</c:v>
                </c:pt>
                <c:pt idx="10">
                  <c:v>2.2599000000000001E-2</c:v>
                </c:pt>
                <c:pt idx="11">
                  <c:v>3.7819999999999999E-2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0.45419999999999994</c:v>
                </c:pt>
                <c:pt idx="6">
                  <c:v>0.52499999999999991</c:v>
                </c:pt>
                <c:pt idx="7">
                  <c:v>0.58892792905209668</c:v>
                </c:pt>
                <c:pt idx="8">
                  <c:v>0.68182792905209666</c:v>
                </c:pt>
                <c:pt idx="9">
                  <c:v>0.78802792905209662</c:v>
                </c:pt>
                <c:pt idx="10">
                  <c:v>0.86092792905209659</c:v>
                </c:pt>
                <c:pt idx="11">
                  <c:v>0.98292792905209658</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22411</xdr:colOff>
      <xdr:row>39</xdr:row>
      <xdr:rowOff>6722</xdr:rowOff>
    </xdr:from>
    <xdr:to>
      <xdr:col>8</xdr:col>
      <xdr:colOff>1075764</xdr:colOff>
      <xdr:row>44</xdr:row>
      <xdr:rowOff>4483</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66674</xdr:colOff>
      <xdr:row>38</xdr:row>
      <xdr:rowOff>1047750</xdr:rowOff>
    </xdr:from>
    <xdr:to>
      <xdr:col>9</xdr:col>
      <xdr:colOff>0</xdr:colOff>
      <xdr:row>44</xdr:row>
      <xdr:rowOff>9525</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76201</xdr:colOff>
      <xdr:row>51</xdr:row>
      <xdr:rowOff>489858</xdr:rowOff>
    </xdr:from>
    <xdr:to>
      <xdr:col>5</xdr:col>
      <xdr:colOff>815623</xdr:colOff>
      <xdr:row>53</xdr:row>
      <xdr:rowOff>380042</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a:off x="2873830" y="26169258"/>
          <a:ext cx="3254022" cy="1501270"/>
        </a:xfrm>
        <a:prstGeom prst="rect">
          <a:avLst/>
        </a:prstGeom>
        <a:ln w="19050">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3388658</xdr:rowOff>
    </xdr:from>
    <xdr:to>
      <xdr:col>9</xdr:col>
      <xdr:colOff>0</xdr:colOff>
      <xdr:row>44</xdr:row>
      <xdr:rowOff>8965</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363"/>
      <c r="B2" s="363"/>
      <c r="C2" s="348" t="s">
        <v>0</v>
      </c>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55"/>
    </row>
    <row r="3" spans="1:67" s="69" customFormat="1" ht="45.75" customHeight="1" x14ac:dyDescent="0.2">
      <c r="A3" s="363"/>
      <c r="B3" s="363"/>
      <c r="C3" s="348" t="s">
        <v>1</v>
      </c>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56"/>
    </row>
    <row r="4" spans="1:67" s="69" customFormat="1" ht="45.75" customHeight="1" x14ac:dyDescent="0.2">
      <c r="A4" s="363"/>
      <c r="B4" s="363"/>
      <c r="C4" s="348" t="s">
        <v>2</v>
      </c>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56"/>
    </row>
    <row r="5" spans="1:67" s="69" customFormat="1" ht="45.75" customHeight="1" x14ac:dyDescent="0.2">
      <c r="A5" s="363"/>
      <c r="B5" s="363"/>
      <c r="C5" s="366" t="s">
        <v>3</v>
      </c>
      <c r="D5" s="366"/>
      <c r="E5" s="366"/>
      <c r="F5" s="366"/>
      <c r="G5" s="366"/>
      <c r="H5" s="366"/>
      <c r="I5" s="366"/>
      <c r="J5" s="366"/>
      <c r="K5" s="366"/>
      <c r="L5" s="366"/>
      <c r="M5" s="366"/>
      <c r="N5" s="366"/>
      <c r="O5" s="366"/>
      <c r="P5" s="366"/>
      <c r="Q5" s="366"/>
      <c r="R5" s="353" t="s">
        <v>4</v>
      </c>
      <c r="S5" s="353"/>
      <c r="T5" s="353"/>
      <c r="U5" s="353"/>
      <c r="V5" s="353"/>
      <c r="W5" s="353"/>
      <c r="X5" s="353"/>
      <c r="Y5" s="353"/>
      <c r="Z5" s="353"/>
      <c r="AA5" s="353"/>
      <c r="AB5" s="353"/>
      <c r="AC5" s="353"/>
      <c r="AD5" s="353"/>
      <c r="AE5" s="353"/>
      <c r="AF5" s="357"/>
    </row>
    <row r="6" spans="1:67" s="70" customFormat="1" ht="30.75" customHeight="1" x14ac:dyDescent="0.2">
      <c r="D6" s="71"/>
      <c r="K6" s="69"/>
      <c r="AA6" s="72"/>
    </row>
    <row r="7" spans="1:67" s="70" customFormat="1" ht="42" customHeight="1" x14ac:dyDescent="0.2">
      <c r="B7" s="172" t="s">
        <v>5</v>
      </c>
      <c r="C7" s="362" t="e">
        <f>+#REF!</f>
        <v>#REF!</v>
      </c>
      <c r="D7" s="362"/>
      <c r="E7" s="362"/>
      <c r="F7" s="362"/>
      <c r="G7" s="362"/>
      <c r="K7" s="69"/>
      <c r="AA7" s="72"/>
    </row>
    <row r="8" spans="1:67" s="70" customFormat="1" ht="42" customHeight="1" x14ac:dyDescent="0.2">
      <c r="B8" s="172" t="s">
        <v>6</v>
      </c>
      <c r="C8" s="362" t="e">
        <f>+#REF!</f>
        <v>#REF!</v>
      </c>
      <c r="D8" s="362"/>
      <c r="E8" s="362"/>
      <c r="F8" s="362"/>
      <c r="G8" s="362"/>
      <c r="K8" s="69"/>
      <c r="AA8" s="72"/>
    </row>
    <row r="9" spans="1:67" s="70" customFormat="1" ht="42" customHeight="1" x14ac:dyDescent="0.2">
      <c r="B9" s="173" t="s">
        <v>7</v>
      </c>
      <c r="C9" s="362" t="e">
        <f>+#REF!</f>
        <v>#REF!</v>
      </c>
      <c r="D9" s="362"/>
      <c r="E9" s="362"/>
      <c r="F9" s="362"/>
      <c r="G9" s="362"/>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37" t="s">
        <v>8</v>
      </c>
      <c r="B11" s="338"/>
      <c r="C11" s="338"/>
      <c r="D11" s="338"/>
      <c r="E11" s="338"/>
      <c r="F11" s="338"/>
      <c r="G11" s="338"/>
      <c r="H11" s="339"/>
      <c r="I11" s="359" t="s">
        <v>9</v>
      </c>
      <c r="J11" s="360"/>
      <c r="K11" s="360"/>
      <c r="L11" s="360"/>
      <c r="M11" s="360"/>
      <c r="N11" s="361"/>
      <c r="O11" s="354" t="s">
        <v>10</v>
      </c>
      <c r="P11" s="354"/>
      <c r="Q11" s="354"/>
      <c r="R11" s="354"/>
      <c r="S11" s="354"/>
      <c r="T11" s="354"/>
      <c r="U11" s="354"/>
      <c r="V11" s="354"/>
      <c r="W11" s="354"/>
      <c r="X11" s="354"/>
      <c r="Y11" s="354"/>
      <c r="Z11" s="354"/>
      <c r="AA11" s="354"/>
      <c r="AB11" s="354"/>
      <c r="AC11" s="354"/>
      <c r="AD11" s="337" t="s">
        <v>11</v>
      </c>
      <c r="AE11" s="338"/>
      <c r="AF11" s="339"/>
    </row>
    <row r="12" spans="1:67" s="57" customFormat="1" ht="56.25" customHeight="1" x14ac:dyDescent="0.15">
      <c r="A12" s="174" t="s">
        <v>12</v>
      </c>
      <c r="B12" s="174" t="s">
        <v>13</v>
      </c>
      <c r="C12" s="174" t="s">
        <v>14</v>
      </c>
      <c r="D12" s="174" t="s">
        <v>15</v>
      </c>
      <c r="E12" s="174" t="s">
        <v>16</v>
      </c>
      <c r="F12" s="174" t="s">
        <v>17</v>
      </c>
      <c r="G12" s="174" t="s">
        <v>18</v>
      </c>
      <c r="H12" s="174" t="s">
        <v>19</v>
      </c>
      <c r="I12" s="175" t="s">
        <v>20</v>
      </c>
      <c r="J12" s="175">
        <v>2016</v>
      </c>
      <c r="K12" s="175">
        <v>2017</v>
      </c>
      <c r="L12" s="175">
        <v>2018</v>
      </c>
      <c r="M12" s="175">
        <v>2019</v>
      </c>
      <c r="N12" s="175">
        <v>2020</v>
      </c>
      <c r="O12" s="176" t="s">
        <v>21</v>
      </c>
      <c r="P12" s="176" t="s">
        <v>22</v>
      </c>
      <c r="Q12" s="176" t="s">
        <v>23</v>
      </c>
      <c r="R12" s="176" t="s">
        <v>24</v>
      </c>
      <c r="S12" s="176" t="s">
        <v>25</v>
      </c>
      <c r="T12" s="176" t="s">
        <v>26</v>
      </c>
      <c r="U12" s="176" t="s">
        <v>27</v>
      </c>
      <c r="V12" s="176" t="s">
        <v>28</v>
      </c>
      <c r="W12" s="176" t="s">
        <v>29</v>
      </c>
      <c r="X12" s="176" t="s">
        <v>30</v>
      </c>
      <c r="Y12" s="176" t="s">
        <v>31</v>
      </c>
      <c r="Z12" s="176" t="s">
        <v>32</v>
      </c>
      <c r="AA12" s="176" t="s">
        <v>33</v>
      </c>
      <c r="AB12" s="177" t="s">
        <v>34</v>
      </c>
      <c r="AC12" s="176" t="s">
        <v>35</v>
      </c>
      <c r="AD12" s="178" t="s">
        <v>36</v>
      </c>
      <c r="AE12" s="178" t="s">
        <v>37</v>
      </c>
      <c r="AF12" s="178" t="s">
        <v>38</v>
      </c>
    </row>
    <row r="13" spans="1:67" s="59" customFormat="1" ht="84.75" customHeight="1" x14ac:dyDescent="0.2">
      <c r="A13" s="303" t="s">
        <v>39</v>
      </c>
      <c r="B13" s="303" t="s">
        <v>40</v>
      </c>
      <c r="C13" s="303">
        <v>224</v>
      </c>
      <c r="D13" s="303" t="s">
        <v>41</v>
      </c>
      <c r="E13" s="303">
        <v>171</v>
      </c>
      <c r="F13" s="307" t="s">
        <v>42</v>
      </c>
      <c r="G13" s="303" t="s">
        <v>43</v>
      </c>
      <c r="H13" s="303" t="s">
        <v>44</v>
      </c>
      <c r="I13" s="358" t="e">
        <f>SUM(J13:N14)</f>
        <v>#REF!</v>
      </c>
      <c r="J13" s="340" t="e">
        <f>+#REF!</f>
        <v>#REF!</v>
      </c>
      <c r="K13" s="342" t="e">
        <f>+#REF!</f>
        <v>#REF!</v>
      </c>
      <c r="L13" s="364" t="e">
        <f>+#REF!</f>
        <v>#REF!</v>
      </c>
      <c r="M13" s="340" t="e">
        <f>+#REF!</f>
        <v>#REF!</v>
      </c>
      <c r="N13" s="340" t="e">
        <f>+#REF!</f>
        <v>#REF!</v>
      </c>
      <c r="O13" s="335" t="e">
        <f>+#REF!</f>
        <v>#REF!</v>
      </c>
      <c r="P13" s="335">
        <v>6.45</v>
      </c>
      <c r="Q13" s="335">
        <v>31.03</v>
      </c>
      <c r="R13" s="335"/>
      <c r="S13" s="335" t="e">
        <f>+#REF!</f>
        <v>#REF!</v>
      </c>
      <c r="T13" s="335" t="e">
        <f>+#REF!</f>
        <v>#REF!</v>
      </c>
      <c r="U13" s="335" t="e">
        <f>+#REF!</f>
        <v>#REF!</v>
      </c>
      <c r="V13" s="335" t="e">
        <f>+#REF!</f>
        <v>#REF!</v>
      </c>
      <c r="W13" s="335" t="e">
        <f>+#REF!</f>
        <v>#REF!</v>
      </c>
      <c r="X13" s="335" t="e">
        <f>+#REF!</f>
        <v>#REF!</v>
      </c>
      <c r="Y13" s="335" t="e">
        <f>+#REF!</f>
        <v>#REF!</v>
      </c>
      <c r="Z13" s="335" t="e">
        <f>+#REF!</f>
        <v>#REF!</v>
      </c>
      <c r="AA13" s="346" t="e">
        <f>SUM(O13:Z14)</f>
        <v>#REF!</v>
      </c>
      <c r="AB13" s="310" t="e">
        <f>+AA13/K13</f>
        <v>#REF!</v>
      </c>
      <c r="AC13" s="310" t="e">
        <f>+(J13+AA13)/I13</f>
        <v>#REF!</v>
      </c>
      <c r="AD13" s="344" t="s">
        <v>45</v>
      </c>
      <c r="AE13" s="297" t="s">
        <v>46</v>
      </c>
      <c r="AF13" s="344"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303"/>
      <c r="B14" s="303"/>
      <c r="C14" s="303"/>
      <c r="D14" s="303"/>
      <c r="E14" s="303"/>
      <c r="F14" s="307"/>
      <c r="G14" s="303"/>
      <c r="H14" s="303"/>
      <c r="I14" s="358"/>
      <c r="J14" s="341"/>
      <c r="K14" s="343"/>
      <c r="L14" s="365"/>
      <c r="M14" s="341"/>
      <c r="N14" s="341"/>
      <c r="O14" s="336"/>
      <c r="P14" s="336"/>
      <c r="Q14" s="336"/>
      <c r="R14" s="336"/>
      <c r="S14" s="336"/>
      <c r="T14" s="336"/>
      <c r="U14" s="336"/>
      <c r="V14" s="336"/>
      <c r="W14" s="336"/>
      <c r="X14" s="336"/>
      <c r="Y14" s="336"/>
      <c r="Z14" s="336"/>
      <c r="AA14" s="347"/>
      <c r="AB14" s="310"/>
      <c r="AC14" s="310"/>
      <c r="AD14" s="345"/>
      <c r="AE14" s="298"/>
      <c r="AF14" s="345"/>
    </row>
    <row r="15" spans="1:67" ht="89.25" customHeight="1" x14ac:dyDescent="0.2">
      <c r="A15" s="303" t="s">
        <v>39</v>
      </c>
      <c r="B15" s="303" t="s">
        <v>48</v>
      </c>
      <c r="C15" s="303">
        <v>223</v>
      </c>
      <c r="D15" s="303" t="s">
        <v>49</v>
      </c>
      <c r="E15" s="303">
        <v>170</v>
      </c>
      <c r="F15" s="307" t="s">
        <v>50</v>
      </c>
      <c r="G15" s="303" t="s">
        <v>43</v>
      </c>
      <c r="H15" s="303" t="s">
        <v>44</v>
      </c>
      <c r="I15" s="358" t="e">
        <f>SUM(J15:N16)</f>
        <v>#REF!</v>
      </c>
      <c r="J15" s="333" t="e">
        <f>+#REF!</f>
        <v>#REF!</v>
      </c>
      <c r="K15" s="349" t="e">
        <f>+#REF!</f>
        <v>#REF!</v>
      </c>
      <c r="L15" s="351" t="e">
        <f>+#REF!</f>
        <v>#REF!</v>
      </c>
      <c r="M15" s="333" t="e">
        <f>+#REF!</f>
        <v>#REF!</v>
      </c>
      <c r="N15" s="333" t="e">
        <f>+#REF!</f>
        <v>#REF!</v>
      </c>
      <c r="O15" s="335">
        <v>53</v>
      </c>
      <c r="P15" s="335">
        <v>712</v>
      </c>
      <c r="Q15" s="335">
        <v>881</v>
      </c>
      <c r="R15" s="335"/>
      <c r="S15" s="335" t="e">
        <f>+#REF!</f>
        <v>#REF!</v>
      </c>
      <c r="T15" s="335" t="e">
        <f>+#REF!</f>
        <v>#REF!</v>
      </c>
      <c r="U15" s="335" t="e">
        <f>+#REF!</f>
        <v>#REF!</v>
      </c>
      <c r="V15" s="335" t="e">
        <f>+#REF!</f>
        <v>#REF!</v>
      </c>
      <c r="W15" s="335" t="e">
        <f>+#REF!</f>
        <v>#REF!</v>
      </c>
      <c r="X15" s="335" t="e">
        <f>+#REF!</f>
        <v>#REF!</v>
      </c>
      <c r="Y15" s="335" t="e">
        <f>+#REF!</f>
        <v>#REF!</v>
      </c>
      <c r="Z15" s="335" t="e">
        <f>+#REF!</f>
        <v>#REF!</v>
      </c>
      <c r="AA15" s="346" t="e">
        <f>SUM(O15:Z16)</f>
        <v>#REF!</v>
      </c>
      <c r="AB15" s="310" t="e">
        <f>+AA15/K15</f>
        <v>#REF!</v>
      </c>
      <c r="AC15" s="310" t="e">
        <f>+(J15+AA15)/I15</f>
        <v>#REF!</v>
      </c>
      <c r="AD15" s="344" t="s">
        <v>51</v>
      </c>
      <c r="AE15" s="297" t="s">
        <v>46</v>
      </c>
      <c r="AF15" s="344" t="s">
        <v>52</v>
      </c>
    </row>
    <row r="16" spans="1:67" ht="140.25" customHeight="1" x14ac:dyDescent="0.2">
      <c r="A16" s="303"/>
      <c r="B16" s="303"/>
      <c r="C16" s="303"/>
      <c r="D16" s="303"/>
      <c r="E16" s="303"/>
      <c r="F16" s="307"/>
      <c r="G16" s="303"/>
      <c r="H16" s="303"/>
      <c r="I16" s="358"/>
      <c r="J16" s="334"/>
      <c r="K16" s="350"/>
      <c r="L16" s="352"/>
      <c r="M16" s="334"/>
      <c r="N16" s="334"/>
      <c r="O16" s="336"/>
      <c r="P16" s="336"/>
      <c r="Q16" s="336"/>
      <c r="R16" s="336"/>
      <c r="S16" s="336"/>
      <c r="T16" s="336"/>
      <c r="U16" s="336"/>
      <c r="V16" s="336"/>
      <c r="W16" s="336"/>
      <c r="X16" s="336"/>
      <c r="Y16" s="336"/>
      <c r="Z16" s="336"/>
      <c r="AA16" s="347"/>
      <c r="AB16" s="310"/>
      <c r="AC16" s="310"/>
      <c r="AD16" s="345"/>
      <c r="AE16" s="298"/>
      <c r="AF16" s="345"/>
    </row>
    <row r="17" spans="1:32" ht="62.25" customHeight="1" x14ac:dyDescent="0.2">
      <c r="A17" s="303" t="s">
        <v>39</v>
      </c>
      <c r="B17" s="304" t="s">
        <v>53</v>
      </c>
      <c r="C17" s="303">
        <v>231</v>
      </c>
      <c r="D17" s="303" t="s">
        <v>54</v>
      </c>
      <c r="E17" s="303">
        <v>178</v>
      </c>
      <c r="F17" s="307" t="s">
        <v>55</v>
      </c>
      <c r="G17" s="303" t="s">
        <v>56</v>
      </c>
      <c r="H17" s="303" t="s">
        <v>44</v>
      </c>
      <c r="I17" s="311">
        <f>SUM(J17:N18)</f>
        <v>1</v>
      </c>
      <c r="J17" s="308">
        <v>0.05</v>
      </c>
      <c r="K17" s="305">
        <v>0.28999999999999998</v>
      </c>
      <c r="L17" s="321">
        <v>0.25</v>
      </c>
      <c r="M17" s="305">
        <v>0.4</v>
      </c>
      <c r="N17" s="305">
        <v>0.01</v>
      </c>
      <c r="O17" s="313">
        <v>0.19</v>
      </c>
      <c r="P17" s="314"/>
      <c r="Q17" s="314"/>
      <c r="R17" s="317">
        <v>0</v>
      </c>
      <c r="S17" s="318"/>
      <c r="T17" s="318"/>
      <c r="U17" s="327">
        <v>0</v>
      </c>
      <c r="V17" s="328"/>
      <c r="W17" s="328"/>
      <c r="X17" s="327">
        <v>0</v>
      </c>
      <c r="Y17" s="328"/>
      <c r="Z17" s="328"/>
      <c r="AA17" s="331">
        <f>+R17+O17+U17+X17</f>
        <v>0.19</v>
      </c>
      <c r="AB17" s="310">
        <f>+AA17/K17</f>
        <v>0.65517241379310354</v>
      </c>
      <c r="AC17" s="310">
        <f>+(J17+AA17)/I17</f>
        <v>0.24</v>
      </c>
      <c r="AD17" s="323" t="s">
        <v>57</v>
      </c>
      <c r="AE17" s="297" t="s">
        <v>46</v>
      </c>
      <c r="AF17" s="323" t="s">
        <v>58</v>
      </c>
    </row>
    <row r="18" spans="1:32" ht="200.25" customHeight="1" x14ac:dyDescent="0.2">
      <c r="A18" s="303"/>
      <c r="B18" s="304"/>
      <c r="C18" s="303"/>
      <c r="D18" s="303"/>
      <c r="E18" s="303"/>
      <c r="F18" s="307"/>
      <c r="G18" s="303"/>
      <c r="H18" s="303"/>
      <c r="I18" s="312"/>
      <c r="J18" s="309"/>
      <c r="K18" s="306"/>
      <c r="L18" s="322"/>
      <c r="M18" s="306"/>
      <c r="N18" s="306"/>
      <c r="O18" s="315"/>
      <c r="P18" s="316"/>
      <c r="Q18" s="316"/>
      <c r="R18" s="319"/>
      <c r="S18" s="320"/>
      <c r="T18" s="320"/>
      <c r="U18" s="329"/>
      <c r="V18" s="330"/>
      <c r="W18" s="330"/>
      <c r="X18" s="329"/>
      <c r="Y18" s="330"/>
      <c r="Z18" s="330"/>
      <c r="AA18" s="332"/>
      <c r="AB18" s="310"/>
      <c r="AC18" s="310"/>
      <c r="AD18" s="324"/>
      <c r="AE18" s="298"/>
      <c r="AF18" s="324"/>
    </row>
    <row r="19" spans="1:32" ht="62.25" customHeight="1" x14ac:dyDescent="0.2">
      <c r="A19" s="303" t="s">
        <v>39</v>
      </c>
      <c r="B19" s="304" t="s">
        <v>59</v>
      </c>
      <c r="C19" s="303">
        <v>232</v>
      </c>
      <c r="D19" s="303" t="s">
        <v>60</v>
      </c>
      <c r="E19" s="303">
        <v>179</v>
      </c>
      <c r="F19" s="307" t="s">
        <v>61</v>
      </c>
      <c r="G19" s="303" t="s">
        <v>56</v>
      </c>
      <c r="H19" s="303" t="s">
        <v>44</v>
      </c>
      <c r="I19" s="311">
        <f>SUM(J19:N20)</f>
        <v>1</v>
      </c>
      <c r="J19" s="308">
        <v>0.01</v>
      </c>
      <c r="K19" s="305">
        <v>0.15</v>
      </c>
      <c r="L19" s="321">
        <v>0.42</v>
      </c>
      <c r="M19" s="305">
        <v>0.42</v>
      </c>
      <c r="N19" s="305">
        <v>0</v>
      </c>
      <c r="O19" s="299">
        <v>0.35</v>
      </c>
      <c r="P19" s="300"/>
      <c r="Q19" s="300"/>
      <c r="R19" s="313">
        <v>0</v>
      </c>
      <c r="S19" s="314"/>
      <c r="T19" s="314"/>
      <c r="U19" s="299">
        <v>0</v>
      </c>
      <c r="V19" s="300"/>
      <c r="W19" s="300"/>
      <c r="X19" s="299">
        <v>0</v>
      </c>
      <c r="Y19" s="300"/>
      <c r="Z19" s="300"/>
      <c r="AA19" s="325">
        <f>+R19+O19+U19+X19</f>
        <v>0.35</v>
      </c>
      <c r="AB19" s="310">
        <f>+AA19/K19</f>
        <v>2.3333333333333335</v>
      </c>
      <c r="AC19" s="310">
        <f>+(J19+AA19)/I19</f>
        <v>0.36</v>
      </c>
      <c r="AD19" s="323" t="s">
        <v>62</v>
      </c>
      <c r="AE19" s="297" t="s">
        <v>46</v>
      </c>
      <c r="AF19" s="323" t="s">
        <v>58</v>
      </c>
    </row>
    <row r="20" spans="1:32" ht="298.5" customHeight="1" x14ac:dyDescent="0.2">
      <c r="A20" s="303"/>
      <c r="B20" s="304"/>
      <c r="C20" s="303"/>
      <c r="D20" s="303"/>
      <c r="E20" s="303"/>
      <c r="F20" s="307"/>
      <c r="G20" s="303"/>
      <c r="H20" s="303"/>
      <c r="I20" s="312"/>
      <c r="J20" s="309"/>
      <c r="K20" s="306"/>
      <c r="L20" s="322"/>
      <c r="M20" s="306"/>
      <c r="N20" s="306"/>
      <c r="O20" s="301"/>
      <c r="P20" s="302"/>
      <c r="Q20" s="302"/>
      <c r="R20" s="315"/>
      <c r="S20" s="316"/>
      <c r="T20" s="316"/>
      <c r="U20" s="301"/>
      <c r="V20" s="302"/>
      <c r="W20" s="302"/>
      <c r="X20" s="301"/>
      <c r="Y20" s="302"/>
      <c r="Z20" s="302"/>
      <c r="AA20" s="326"/>
      <c r="AB20" s="310"/>
      <c r="AC20" s="310"/>
      <c r="AD20" s="324"/>
      <c r="AE20" s="298"/>
      <c r="AF20" s="324"/>
    </row>
    <row r="21" spans="1:32" ht="62.25" customHeight="1" x14ac:dyDescent="0.2">
      <c r="A21" s="303" t="s">
        <v>39</v>
      </c>
      <c r="B21" s="304" t="s">
        <v>63</v>
      </c>
      <c r="C21" s="303">
        <v>233</v>
      </c>
      <c r="D21" s="303" t="s">
        <v>64</v>
      </c>
      <c r="E21" s="303">
        <v>180</v>
      </c>
      <c r="F21" s="307" t="s">
        <v>65</v>
      </c>
      <c r="G21" s="303" t="s">
        <v>56</v>
      </c>
      <c r="H21" s="303" t="s">
        <v>44</v>
      </c>
      <c r="I21" s="311">
        <f>SUM(J21:N22)</f>
        <v>1</v>
      </c>
      <c r="J21" s="308">
        <v>0.01</v>
      </c>
      <c r="K21" s="305">
        <v>0.1</v>
      </c>
      <c r="L21" s="321">
        <v>0.3</v>
      </c>
      <c r="M21" s="305">
        <v>0.55000000000000004</v>
      </c>
      <c r="N21" s="305">
        <v>0.04</v>
      </c>
      <c r="O21" s="299">
        <v>4.4999999999999998E-2</v>
      </c>
      <c r="P21" s="300"/>
      <c r="Q21" s="300"/>
      <c r="R21" s="299">
        <v>0</v>
      </c>
      <c r="S21" s="300"/>
      <c r="T21" s="300"/>
      <c r="U21" s="299">
        <v>0</v>
      </c>
      <c r="V21" s="300"/>
      <c r="W21" s="300"/>
      <c r="X21" s="299">
        <v>0</v>
      </c>
      <c r="Y21" s="300"/>
      <c r="Z21" s="300"/>
      <c r="AA21" s="325">
        <f>+R21+O21+U21+X21</f>
        <v>4.4999999999999998E-2</v>
      </c>
      <c r="AB21" s="310">
        <f>+AA21/K21</f>
        <v>0.44999999999999996</v>
      </c>
      <c r="AC21" s="310">
        <f>+(J21+AA21)/I21</f>
        <v>5.5E-2</v>
      </c>
      <c r="AD21" s="323" t="s">
        <v>66</v>
      </c>
      <c r="AE21" s="297" t="s">
        <v>46</v>
      </c>
      <c r="AF21" s="323" t="s">
        <v>58</v>
      </c>
    </row>
    <row r="22" spans="1:32" ht="124.5" customHeight="1" x14ac:dyDescent="0.2">
      <c r="A22" s="303"/>
      <c r="B22" s="304"/>
      <c r="C22" s="303"/>
      <c r="D22" s="303"/>
      <c r="E22" s="303"/>
      <c r="F22" s="307"/>
      <c r="G22" s="303"/>
      <c r="H22" s="303"/>
      <c r="I22" s="312"/>
      <c r="J22" s="309"/>
      <c r="K22" s="306"/>
      <c r="L22" s="322"/>
      <c r="M22" s="306"/>
      <c r="N22" s="306"/>
      <c r="O22" s="301"/>
      <c r="P22" s="302"/>
      <c r="Q22" s="302"/>
      <c r="R22" s="301"/>
      <c r="S22" s="302"/>
      <c r="T22" s="302"/>
      <c r="U22" s="301"/>
      <c r="V22" s="302"/>
      <c r="W22" s="302"/>
      <c r="X22" s="301"/>
      <c r="Y22" s="302"/>
      <c r="Z22" s="302"/>
      <c r="AA22" s="326"/>
      <c r="AB22" s="310"/>
      <c r="AC22" s="310"/>
      <c r="AD22" s="324"/>
      <c r="AE22" s="298"/>
      <c r="AF22" s="324"/>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topLeftCell="A24" zoomScale="85" zoomScaleNormal="85" zoomScaleSheetLayoutView="50" zoomScalePageLayoutView="85" workbookViewId="0">
      <selection activeCell="C39" sqref="C39:I39"/>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9" width="17.6640625" style="83" customWidth="1"/>
    <col min="10" max="11" width="22.5" style="83" customWidth="1"/>
    <col min="12" max="24" width="10.6640625" style="81"/>
    <col min="25" max="16384" width="10.6640625" style="83"/>
  </cols>
  <sheetData>
    <row r="1" spans="2:14" ht="37.5" customHeight="1" x14ac:dyDescent="0.15">
      <c r="B1" s="582"/>
      <c r="C1" s="585" t="s">
        <v>1</v>
      </c>
      <c r="D1" s="585"/>
      <c r="E1" s="585"/>
      <c r="F1" s="585"/>
      <c r="G1" s="585"/>
      <c r="H1" s="585"/>
      <c r="I1" s="586"/>
      <c r="J1" s="80"/>
      <c r="K1" s="80"/>
      <c r="M1" s="82" t="s">
        <v>67</v>
      </c>
    </row>
    <row r="2" spans="2:14" ht="37.5" customHeight="1" x14ac:dyDescent="0.15">
      <c r="B2" s="583"/>
      <c r="C2" s="589" t="s">
        <v>218</v>
      </c>
      <c r="D2" s="589"/>
      <c r="E2" s="589"/>
      <c r="F2" s="589"/>
      <c r="G2" s="589"/>
      <c r="H2" s="589"/>
      <c r="I2" s="587"/>
      <c r="J2" s="80"/>
      <c r="K2" s="80"/>
      <c r="M2" s="82" t="s">
        <v>68</v>
      </c>
    </row>
    <row r="3" spans="2:14" ht="37.5" customHeight="1" thickBot="1" x14ac:dyDescent="0.2">
      <c r="B3" s="584"/>
      <c r="C3" s="590" t="s">
        <v>219</v>
      </c>
      <c r="D3" s="590"/>
      <c r="E3" s="590"/>
      <c r="F3" s="590" t="s">
        <v>220</v>
      </c>
      <c r="G3" s="590"/>
      <c r="H3" s="590"/>
      <c r="I3" s="588"/>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t="s">
        <v>77</v>
      </c>
    </row>
    <row r="6" spans="2:14" ht="46.25" customHeight="1" x14ac:dyDescent="0.15">
      <c r="B6" s="118" t="s">
        <v>223</v>
      </c>
      <c r="C6" s="134">
        <v>7</v>
      </c>
      <c r="D6" s="581" t="s">
        <v>224</v>
      </c>
      <c r="E6" s="581"/>
      <c r="F6" s="559" t="s">
        <v>392</v>
      </c>
      <c r="G6" s="559"/>
      <c r="H6" s="559"/>
      <c r="I6" s="560"/>
      <c r="J6" s="87"/>
      <c r="K6" s="87"/>
      <c r="M6" s="82" t="s">
        <v>81</v>
      </c>
      <c r="N6" s="86" t="s">
        <v>82</v>
      </c>
    </row>
    <row r="7" spans="2:14" ht="30.75" customHeight="1" x14ac:dyDescent="0.15">
      <c r="B7" s="118" t="s">
        <v>226</v>
      </c>
      <c r="C7" s="134" t="s">
        <v>84</v>
      </c>
      <c r="D7" s="581" t="s">
        <v>227</v>
      </c>
      <c r="E7" s="581"/>
      <c r="F7" s="559" t="s">
        <v>476</v>
      </c>
      <c r="G7" s="559"/>
      <c r="H7" s="135" t="s">
        <v>229</v>
      </c>
      <c r="I7" s="136" t="s">
        <v>84</v>
      </c>
      <c r="J7" s="88"/>
      <c r="K7" s="88"/>
      <c r="M7" s="82" t="s">
        <v>88</v>
      </c>
      <c r="N7" s="86" t="s">
        <v>89</v>
      </c>
    </row>
    <row r="8" spans="2:14" ht="30.75" customHeight="1" x14ac:dyDescent="0.15">
      <c r="B8" s="118" t="s">
        <v>230</v>
      </c>
      <c r="C8" s="559" t="s">
        <v>231</v>
      </c>
      <c r="D8" s="559"/>
      <c r="E8" s="559"/>
      <c r="F8" s="559"/>
      <c r="G8" s="135" t="s">
        <v>232</v>
      </c>
      <c r="H8" s="571">
        <v>7550</v>
      </c>
      <c r="I8" s="572"/>
      <c r="J8" s="89"/>
      <c r="K8" s="89"/>
      <c r="M8" s="82" t="s">
        <v>93</v>
      </c>
      <c r="N8" s="86" t="s">
        <v>44</v>
      </c>
    </row>
    <row r="9" spans="2:14" ht="30.75" customHeight="1" x14ac:dyDescent="0.15">
      <c r="B9" s="118" t="s">
        <v>68</v>
      </c>
      <c r="C9" s="573" t="s">
        <v>81</v>
      </c>
      <c r="D9" s="573"/>
      <c r="E9" s="573"/>
      <c r="F9" s="573"/>
      <c r="G9" s="135" t="s">
        <v>233</v>
      </c>
      <c r="H9" s="574" t="s">
        <v>393</v>
      </c>
      <c r="I9" s="575"/>
      <c r="J9" s="90"/>
      <c r="K9" s="90"/>
      <c r="M9" s="91" t="s">
        <v>97</v>
      </c>
    </row>
    <row r="10" spans="2:14" ht="59" customHeight="1" x14ac:dyDescent="0.15">
      <c r="B10" s="118" t="s">
        <v>235</v>
      </c>
      <c r="C10" s="559" t="s">
        <v>394</v>
      </c>
      <c r="D10" s="559"/>
      <c r="E10" s="559"/>
      <c r="F10" s="559"/>
      <c r="G10" s="559"/>
      <c r="H10" s="559"/>
      <c r="I10" s="560"/>
      <c r="J10" s="92"/>
      <c r="K10" s="92"/>
      <c r="M10" s="91"/>
    </row>
    <row r="11" spans="2:14" ht="30.75" customHeight="1" x14ac:dyDescent="0.15">
      <c r="B11" s="118" t="s">
        <v>237</v>
      </c>
      <c r="C11" s="552" t="s">
        <v>349</v>
      </c>
      <c r="D11" s="552"/>
      <c r="E11" s="552"/>
      <c r="F11" s="552"/>
      <c r="G11" s="552"/>
      <c r="H11" s="552"/>
      <c r="I11" s="576"/>
      <c r="J11" s="88"/>
      <c r="K11" s="88"/>
      <c r="M11" s="91"/>
      <c r="N11" s="86" t="s">
        <v>102</v>
      </c>
    </row>
    <row r="12" spans="2:14" ht="30.75" customHeight="1" x14ac:dyDescent="0.15">
      <c r="B12" s="118" t="s">
        <v>239</v>
      </c>
      <c r="C12" s="550" t="s">
        <v>395</v>
      </c>
      <c r="D12" s="550"/>
      <c r="E12" s="550"/>
      <c r="F12" s="550"/>
      <c r="G12" s="135" t="s">
        <v>241</v>
      </c>
      <c r="H12" s="564" t="s">
        <v>106</v>
      </c>
      <c r="I12" s="565"/>
      <c r="J12" s="88"/>
      <c r="K12" s="88"/>
      <c r="M12" s="91" t="s">
        <v>107</v>
      </c>
      <c r="N12" s="86" t="s">
        <v>84</v>
      </c>
    </row>
    <row r="13" spans="2:14" ht="30.75" customHeight="1" x14ac:dyDescent="0.15">
      <c r="B13" s="118" t="s">
        <v>242</v>
      </c>
      <c r="C13" s="577" t="s">
        <v>243</v>
      </c>
      <c r="D13" s="577"/>
      <c r="E13" s="577"/>
      <c r="F13" s="577"/>
      <c r="G13" s="135" t="s">
        <v>244</v>
      </c>
      <c r="H13" s="552" t="s">
        <v>77</v>
      </c>
      <c r="I13" s="576"/>
      <c r="J13" s="88"/>
      <c r="K13" s="88"/>
      <c r="M13" s="91" t="s">
        <v>111</v>
      </c>
    </row>
    <row r="14" spans="2:14" ht="30" customHeight="1" x14ac:dyDescent="0.15">
      <c r="B14" s="118" t="s">
        <v>245</v>
      </c>
      <c r="C14" s="550" t="s">
        <v>477</v>
      </c>
      <c r="D14" s="550"/>
      <c r="E14" s="550"/>
      <c r="F14" s="550"/>
      <c r="G14" s="550"/>
      <c r="H14" s="550"/>
      <c r="I14" s="551"/>
      <c r="J14" s="92"/>
      <c r="K14" s="92"/>
      <c r="M14" s="91" t="s">
        <v>114</v>
      </c>
      <c r="N14" s="86"/>
    </row>
    <row r="15" spans="2:14" ht="30.75" customHeight="1" x14ac:dyDescent="0.15">
      <c r="B15" s="118" t="s">
        <v>247</v>
      </c>
      <c r="C15" s="550" t="s">
        <v>396</v>
      </c>
      <c r="D15" s="550"/>
      <c r="E15" s="550"/>
      <c r="F15" s="550"/>
      <c r="G15" s="550"/>
      <c r="H15" s="550"/>
      <c r="I15" s="551"/>
      <c r="J15" s="93"/>
      <c r="K15" s="93"/>
      <c r="M15" s="91" t="s">
        <v>118</v>
      </c>
      <c r="N15" s="86"/>
    </row>
    <row r="16" spans="2:14" ht="42.5" customHeight="1" x14ac:dyDescent="0.15">
      <c r="B16" s="118" t="s">
        <v>249</v>
      </c>
      <c r="C16" s="559" t="s">
        <v>478</v>
      </c>
      <c r="D16" s="559"/>
      <c r="E16" s="559"/>
      <c r="F16" s="559"/>
      <c r="G16" s="559"/>
      <c r="H16" s="559"/>
      <c r="I16" s="560"/>
      <c r="J16" s="94"/>
      <c r="K16" s="94"/>
      <c r="M16" s="91"/>
      <c r="N16" s="86"/>
    </row>
    <row r="17" spans="2:14" ht="30.75" customHeight="1" x14ac:dyDescent="0.15">
      <c r="B17" s="118" t="s">
        <v>251</v>
      </c>
      <c r="C17" s="552" t="s">
        <v>43</v>
      </c>
      <c r="D17" s="553"/>
      <c r="E17" s="553"/>
      <c r="F17" s="553"/>
      <c r="G17" s="553"/>
      <c r="H17" s="553"/>
      <c r="I17" s="554"/>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24" t="s">
        <v>373</v>
      </c>
      <c r="D19" s="525"/>
      <c r="E19" s="546"/>
      <c r="F19" s="559" t="str">
        <f>C19</f>
        <v>Actividades que se ejecutaron para la implementación de los procesos transversales</v>
      </c>
      <c r="G19" s="559"/>
      <c r="H19" s="559"/>
      <c r="I19" s="560"/>
      <c r="J19" s="94"/>
      <c r="K19" s="94"/>
      <c r="M19" s="91" t="s">
        <v>132</v>
      </c>
      <c r="N19" s="86"/>
    </row>
    <row r="20" spans="2:14" ht="39.75" customHeight="1" x14ac:dyDescent="0.15">
      <c r="B20" s="118" t="s">
        <v>258</v>
      </c>
      <c r="C20" s="524" t="s">
        <v>474</v>
      </c>
      <c r="D20" s="525"/>
      <c r="E20" s="546"/>
      <c r="F20" s="559" t="str">
        <f>C20</f>
        <v>Cantidad de actividades que se ejecutaron para la implementación de los procesos transversales</v>
      </c>
      <c r="G20" s="559"/>
      <c r="H20" s="559"/>
      <c r="I20" s="560"/>
      <c r="J20" s="88"/>
      <c r="K20" s="88"/>
      <c r="M20" s="91"/>
      <c r="N20" s="86"/>
    </row>
    <row r="21" spans="2:14" ht="27" customHeight="1" x14ac:dyDescent="0.15">
      <c r="B21" s="118" t="s">
        <v>259</v>
      </c>
      <c r="C21" s="524" t="s">
        <v>43</v>
      </c>
      <c r="D21" s="525"/>
      <c r="E21" s="546"/>
      <c r="F21" s="524" t="s">
        <v>43</v>
      </c>
      <c r="G21" s="525"/>
      <c r="H21" s="525"/>
      <c r="I21" s="526"/>
      <c r="J21" s="93"/>
      <c r="K21" s="93"/>
      <c r="M21" s="97"/>
      <c r="N21" s="86"/>
    </row>
    <row r="22" spans="2:14" ht="23.25" customHeight="1" x14ac:dyDescent="0.15">
      <c r="B22" s="118" t="s">
        <v>262</v>
      </c>
      <c r="C22" s="617">
        <v>44562</v>
      </c>
      <c r="D22" s="628"/>
      <c r="E22" s="629"/>
      <c r="F22" s="135" t="s">
        <v>263</v>
      </c>
      <c r="G22" s="239">
        <v>0.1</v>
      </c>
      <c r="H22" s="135" t="s">
        <v>264</v>
      </c>
      <c r="I22" s="243">
        <v>0.1</v>
      </c>
      <c r="K22" s="98"/>
      <c r="M22" s="97"/>
    </row>
    <row r="23" spans="2:14" ht="27" customHeight="1" x14ac:dyDescent="0.15">
      <c r="B23" s="118" t="s">
        <v>265</v>
      </c>
      <c r="C23" s="617">
        <v>44926</v>
      </c>
      <c r="D23" s="618"/>
      <c r="E23" s="619"/>
      <c r="F23" s="135" t="s">
        <v>266</v>
      </c>
      <c r="G23" s="767">
        <v>0.31</v>
      </c>
      <c r="H23" s="768"/>
      <c r="I23" s="769"/>
      <c r="J23" s="99"/>
      <c r="K23" s="99"/>
      <c r="M23" s="97"/>
    </row>
    <row r="24" spans="2:14" ht="30.75" customHeight="1" x14ac:dyDescent="0.15">
      <c r="B24" s="222" t="s">
        <v>267</v>
      </c>
      <c r="C24" s="593" t="s">
        <v>268</v>
      </c>
      <c r="D24" s="594"/>
      <c r="E24" s="595"/>
      <c r="F24" s="223" t="s">
        <v>269</v>
      </c>
      <c r="G24" s="524" t="s">
        <v>46</v>
      </c>
      <c r="H24" s="525"/>
      <c r="I24" s="526"/>
      <c r="K24" s="96"/>
      <c r="M24" s="97"/>
    </row>
    <row r="25" spans="2:14" ht="22.5" customHeight="1" x14ac:dyDescent="0.15">
      <c r="B25" s="512" t="s">
        <v>270</v>
      </c>
      <c r="C25" s="513"/>
      <c r="D25" s="513"/>
      <c r="E25" s="513"/>
      <c r="F25" s="513"/>
      <c r="G25" s="513"/>
      <c r="H25" s="513"/>
      <c r="I25" s="514"/>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28">
        <f>4.69%*$G$23</f>
        <v>1.4539000000000002E-2</v>
      </c>
      <c r="D27" s="228">
        <f>4.69%*$G$23</f>
        <v>1.4539000000000002E-2</v>
      </c>
      <c r="E27" s="131">
        <f>+D27/C27</f>
        <v>1</v>
      </c>
      <c r="F27" s="596">
        <f>SUM(C27:C38)</f>
        <v>0.30996899999999994</v>
      </c>
      <c r="G27" s="596">
        <f>SUM(D27:D38)</f>
        <v>0.30470765800614996</v>
      </c>
      <c r="H27" s="229">
        <f>+(D27*100%)/$G$23</f>
        <v>4.6900000000000004E-2</v>
      </c>
      <c r="I27" s="821">
        <f>G27+I22</f>
        <v>0.40470765800614994</v>
      </c>
      <c r="J27" s="94"/>
      <c r="K27" s="94"/>
      <c r="M27" s="97"/>
    </row>
    <row r="28" spans="2:14" ht="15.5" customHeight="1" x14ac:dyDescent="0.15">
      <c r="B28" s="100" t="s">
        <v>158</v>
      </c>
      <c r="C28" s="228">
        <f>5.82%*$G$23</f>
        <v>1.8041999999999999E-2</v>
      </c>
      <c r="D28" s="228">
        <f>0.1*$G$23</f>
        <v>3.1E-2</v>
      </c>
      <c r="E28" s="131">
        <f t="shared" ref="E28:E38" si="0">+D28/C28</f>
        <v>1.7182130584192441</v>
      </c>
      <c r="F28" s="597"/>
      <c r="G28" s="597"/>
      <c r="H28" s="229">
        <f>+IF(D28="","",((D28*100%)/$G$23)+H27)</f>
        <v>0.1469</v>
      </c>
      <c r="I28" s="822"/>
      <c r="J28" s="94"/>
      <c r="K28" s="94"/>
      <c r="M28" s="97"/>
    </row>
    <row r="29" spans="2:14" ht="15.5" customHeight="1" x14ac:dyDescent="0.15">
      <c r="B29" s="100" t="s">
        <v>159</v>
      </c>
      <c r="C29" s="228">
        <f>11.82%*$G$23</f>
        <v>3.6642000000000001E-2</v>
      </c>
      <c r="D29" s="228">
        <f>8.64%*$G$23</f>
        <v>2.6784000000000002E-2</v>
      </c>
      <c r="E29" s="131">
        <f t="shared" si="0"/>
        <v>0.73096446700507622</v>
      </c>
      <c r="F29" s="597"/>
      <c r="G29" s="597"/>
      <c r="H29" s="229">
        <f>+IF(D29="","",((D29*100%)/$G$23)+H28)</f>
        <v>0.23330000000000001</v>
      </c>
      <c r="I29" s="822"/>
      <c r="J29" s="94"/>
      <c r="K29" s="94"/>
      <c r="M29" s="97"/>
    </row>
    <row r="30" spans="2:14" ht="15.5" customHeight="1" x14ac:dyDescent="0.15">
      <c r="B30" s="100" t="s">
        <v>160</v>
      </c>
      <c r="C30" s="228">
        <f>8.1%*$G$23</f>
        <v>2.511E-2</v>
      </c>
      <c r="D30" s="228">
        <f>5.26%*$G$23</f>
        <v>1.6306000000000001E-2</v>
      </c>
      <c r="E30" s="131">
        <f t="shared" si="0"/>
        <v>0.6493827160493828</v>
      </c>
      <c r="F30" s="597"/>
      <c r="G30" s="597"/>
      <c r="H30" s="229">
        <f t="shared" ref="H30:H38" si="1">+IF(D30="","",((D30*100%)/$G$23)+H29)</f>
        <v>0.28589999999999999</v>
      </c>
      <c r="I30" s="822"/>
      <c r="J30" s="94"/>
      <c r="K30" s="94"/>
      <c r="M30" s="97"/>
    </row>
    <row r="31" spans="2:14" ht="15.5" customHeight="1" x14ac:dyDescent="0.15">
      <c r="B31" s="100" t="s">
        <v>161</v>
      </c>
      <c r="C31" s="228">
        <f>6.73%*$G$23</f>
        <v>2.0863E-2</v>
      </c>
      <c r="D31" s="228">
        <f>6.73%*$G$23</f>
        <v>2.0863E-2</v>
      </c>
      <c r="E31" s="131">
        <f t="shared" si="0"/>
        <v>1</v>
      </c>
      <c r="F31" s="597"/>
      <c r="G31" s="597"/>
      <c r="H31" s="229">
        <f t="shared" si="1"/>
        <v>0.35319999999999996</v>
      </c>
      <c r="I31" s="822"/>
      <c r="J31" s="94"/>
      <c r="K31" s="94"/>
      <c r="M31" s="97"/>
    </row>
    <row r="32" spans="2:14" ht="15.5" customHeight="1" x14ac:dyDescent="0.15">
      <c r="B32" s="100" t="s">
        <v>162</v>
      </c>
      <c r="C32" s="228">
        <f>10.1%*$G$23</f>
        <v>3.1309999999999998E-2</v>
      </c>
      <c r="D32" s="228">
        <f>10.1%*$G$23</f>
        <v>3.1309999999999998E-2</v>
      </c>
      <c r="E32" s="131">
        <f t="shared" si="0"/>
        <v>1</v>
      </c>
      <c r="F32" s="597"/>
      <c r="G32" s="597"/>
      <c r="H32" s="229">
        <f t="shared" si="1"/>
        <v>0.45419999999999994</v>
      </c>
      <c r="I32" s="822"/>
      <c r="J32" s="132"/>
      <c r="K32" s="94"/>
      <c r="M32" s="97"/>
    </row>
    <row r="33" spans="2:11" ht="19.5" customHeight="1" x14ac:dyDescent="0.15">
      <c r="B33" s="100" t="s">
        <v>163</v>
      </c>
      <c r="C33" s="228">
        <f>7.08%*$G$23</f>
        <v>2.1947999999999999E-2</v>
      </c>
      <c r="D33" s="228">
        <f>7.08%*$G$23</f>
        <v>2.1947999999999999E-2</v>
      </c>
      <c r="E33" s="131">
        <f t="shared" si="0"/>
        <v>1</v>
      </c>
      <c r="F33" s="597"/>
      <c r="G33" s="597"/>
      <c r="H33" s="229">
        <f t="shared" si="1"/>
        <v>0.52499999999999991</v>
      </c>
      <c r="I33" s="822"/>
      <c r="J33" s="102"/>
      <c r="K33" s="102"/>
    </row>
    <row r="34" spans="2:11" ht="19.5" customHeight="1" x14ac:dyDescent="0.15">
      <c r="B34" s="100" t="s">
        <v>164</v>
      </c>
      <c r="C34" s="228">
        <f>7.08%*$G$23</f>
        <v>2.1947999999999999E-2</v>
      </c>
      <c r="D34" s="228">
        <f>+C34*(0.902936851018316)</f>
        <v>1.9817658006149999E-2</v>
      </c>
      <c r="E34" s="131">
        <f t="shared" si="0"/>
        <v>0.902936851018316</v>
      </c>
      <c r="F34" s="597"/>
      <c r="G34" s="597"/>
      <c r="H34" s="229">
        <f t="shared" si="1"/>
        <v>0.58892792905209668</v>
      </c>
      <c r="I34" s="822"/>
      <c r="J34" s="102"/>
      <c r="K34" s="102"/>
    </row>
    <row r="35" spans="2:11" ht="19.5" customHeight="1" x14ac:dyDescent="0.15">
      <c r="B35" s="100" t="s">
        <v>165</v>
      </c>
      <c r="C35" s="228">
        <f>11.83%*$G$23</f>
        <v>3.6672999999999997E-2</v>
      </c>
      <c r="D35" s="228">
        <f>9.29%*$G$23</f>
        <v>2.8798999999999998E-2</v>
      </c>
      <c r="E35" s="131">
        <f>+D35/C35</f>
        <v>0.78529163144547764</v>
      </c>
      <c r="F35" s="597"/>
      <c r="G35" s="597"/>
      <c r="H35" s="229">
        <f t="shared" si="1"/>
        <v>0.68182792905209666</v>
      </c>
      <c r="I35" s="822"/>
      <c r="J35" s="102"/>
      <c r="K35" s="102"/>
    </row>
    <row r="36" spans="2:11" ht="19.5" customHeight="1" x14ac:dyDescent="0.15">
      <c r="B36" s="100" t="s">
        <v>166</v>
      </c>
      <c r="C36" s="228">
        <f>8.33%*$G$23</f>
        <v>2.5822999999999999E-2</v>
      </c>
      <c r="D36" s="228">
        <f>10.62%*$G$23</f>
        <v>3.2921999999999993E-2</v>
      </c>
      <c r="E36" s="131">
        <f t="shared" si="0"/>
        <v>1.2749099639855941</v>
      </c>
      <c r="F36" s="597"/>
      <c r="G36" s="597"/>
      <c r="H36" s="229">
        <f t="shared" si="1"/>
        <v>0.78802792905209662</v>
      </c>
      <c r="I36" s="822"/>
      <c r="J36" s="102"/>
      <c r="K36" s="102"/>
    </row>
    <row r="37" spans="2:11" ht="19.5" customHeight="1" x14ac:dyDescent="0.15">
      <c r="B37" s="100" t="s">
        <v>167</v>
      </c>
      <c r="C37" s="228">
        <f>7.03%*$G$23</f>
        <v>2.1793E-2</v>
      </c>
      <c r="D37" s="228">
        <f>7.29%*$G$23</f>
        <v>2.2599000000000001E-2</v>
      </c>
      <c r="E37" s="131">
        <f t="shared" si="0"/>
        <v>1.0369843527738265</v>
      </c>
      <c r="F37" s="597"/>
      <c r="G37" s="597"/>
      <c r="H37" s="229">
        <f t="shared" si="1"/>
        <v>0.86092792905209659</v>
      </c>
      <c r="I37" s="822"/>
      <c r="J37" s="102"/>
      <c r="K37" s="102"/>
    </row>
    <row r="38" spans="2:11" ht="19.5" customHeight="1" x14ac:dyDescent="0.15">
      <c r="B38" s="100" t="s">
        <v>168</v>
      </c>
      <c r="C38" s="228">
        <f>11.38%*$G$23</f>
        <v>3.5278000000000004E-2</v>
      </c>
      <c r="D38" s="228">
        <f>12.2%*$G$23</f>
        <v>3.7819999999999999E-2</v>
      </c>
      <c r="E38" s="131">
        <f t="shared" si="0"/>
        <v>1.072056239015817</v>
      </c>
      <c r="F38" s="598"/>
      <c r="G38" s="598"/>
      <c r="H38" s="229">
        <f t="shared" si="1"/>
        <v>0.98292792905209658</v>
      </c>
      <c r="I38" s="823"/>
      <c r="J38" s="102"/>
      <c r="K38" s="102"/>
    </row>
    <row r="39" spans="2:11" ht="52.5" customHeight="1" x14ac:dyDescent="0.15">
      <c r="B39" s="119" t="s">
        <v>279</v>
      </c>
      <c r="C39" s="824"/>
      <c r="D39" s="825"/>
      <c r="E39" s="825"/>
      <c r="F39" s="825"/>
      <c r="G39" s="825"/>
      <c r="H39" s="825"/>
      <c r="I39" s="826"/>
      <c r="J39" s="103"/>
      <c r="K39" s="103"/>
    </row>
    <row r="40" spans="2:11" ht="34.5" customHeight="1" x14ac:dyDescent="0.15">
      <c r="B40" s="530"/>
      <c r="C40" s="531"/>
      <c r="D40" s="531"/>
      <c r="E40" s="531"/>
      <c r="F40" s="531"/>
      <c r="G40" s="531"/>
      <c r="H40" s="531"/>
      <c r="I40" s="532"/>
      <c r="J40" s="85"/>
      <c r="K40" s="85"/>
    </row>
    <row r="41" spans="2:11" ht="34.5" customHeight="1" x14ac:dyDescent="0.15">
      <c r="B41" s="533"/>
      <c r="C41" s="534"/>
      <c r="D41" s="534"/>
      <c r="E41" s="534"/>
      <c r="F41" s="534"/>
      <c r="G41" s="534"/>
      <c r="H41" s="534"/>
      <c r="I41" s="535"/>
      <c r="J41" s="103"/>
      <c r="K41" s="103"/>
    </row>
    <row r="42" spans="2:11" ht="34.5" customHeight="1" x14ac:dyDescent="0.15">
      <c r="B42" s="533"/>
      <c r="C42" s="534"/>
      <c r="D42" s="534"/>
      <c r="E42" s="534"/>
      <c r="F42" s="534"/>
      <c r="G42" s="534"/>
      <c r="H42" s="534"/>
      <c r="I42" s="535"/>
      <c r="J42" s="103"/>
      <c r="K42" s="103"/>
    </row>
    <row r="43" spans="2:11" ht="34.5" customHeight="1" x14ac:dyDescent="0.15">
      <c r="B43" s="533"/>
      <c r="C43" s="534"/>
      <c r="D43" s="534"/>
      <c r="E43" s="534"/>
      <c r="F43" s="534"/>
      <c r="G43" s="534"/>
      <c r="H43" s="534"/>
      <c r="I43" s="535"/>
      <c r="J43" s="103"/>
      <c r="K43" s="103"/>
    </row>
    <row r="44" spans="2:11" ht="34.5" customHeight="1" x14ac:dyDescent="0.15">
      <c r="B44" s="536"/>
      <c r="C44" s="537"/>
      <c r="D44" s="537"/>
      <c r="E44" s="537"/>
      <c r="F44" s="537"/>
      <c r="G44" s="537"/>
      <c r="H44" s="537"/>
      <c r="I44" s="538"/>
      <c r="J44" s="84"/>
      <c r="K44" s="84"/>
    </row>
    <row r="45" spans="2:11" ht="34.5" customHeight="1" x14ac:dyDescent="0.15">
      <c r="B45" s="161"/>
      <c r="C45" s="163" t="s">
        <v>463</v>
      </c>
      <c r="D45" s="150"/>
      <c r="E45" s="150"/>
      <c r="F45" s="150"/>
      <c r="G45" s="151"/>
      <c r="H45" s="151"/>
      <c r="I45" s="151"/>
      <c r="J45" s="84"/>
      <c r="K45" s="84"/>
    </row>
    <row r="46" spans="2:11" ht="61.75" customHeight="1" x14ac:dyDescent="0.15">
      <c r="B46" s="605" t="s">
        <v>280</v>
      </c>
      <c r="C46" s="830" t="s">
        <v>445</v>
      </c>
      <c r="D46" s="831"/>
      <c r="E46" s="831"/>
      <c r="F46" s="832"/>
      <c r="G46" s="149"/>
      <c r="H46" s="165" t="s">
        <v>397</v>
      </c>
      <c r="I46" s="165" t="s">
        <v>398</v>
      </c>
      <c r="J46" s="104"/>
      <c r="K46" s="104"/>
    </row>
    <row r="47" spans="2:11" ht="61.75" customHeight="1" x14ac:dyDescent="0.15">
      <c r="B47" s="606"/>
      <c r="C47" s="833"/>
      <c r="D47" s="834"/>
      <c r="E47" s="834"/>
      <c r="F47" s="835"/>
      <c r="G47" s="162" t="s">
        <v>399</v>
      </c>
      <c r="H47" s="294">
        <v>83</v>
      </c>
      <c r="I47" s="294">
        <f>863+158+159+173+164+91+83</f>
        <v>1691</v>
      </c>
      <c r="J47" s="104"/>
      <c r="K47" s="104"/>
    </row>
    <row r="48" spans="2:11" ht="61.75" customHeight="1" x14ac:dyDescent="0.15">
      <c r="B48" s="606"/>
      <c r="C48" s="833"/>
      <c r="D48" s="834"/>
      <c r="E48" s="834"/>
      <c r="F48" s="835"/>
      <c r="G48" s="162" t="s">
        <v>391</v>
      </c>
      <c r="H48" s="295">
        <v>0</v>
      </c>
      <c r="I48" s="294">
        <f>5+1+1+1+1</f>
        <v>9</v>
      </c>
      <c r="J48" s="104"/>
      <c r="K48" s="104"/>
    </row>
    <row r="49" spans="2:11" ht="61.75" customHeight="1" x14ac:dyDescent="0.15">
      <c r="B49" s="606"/>
      <c r="C49" s="836"/>
      <c r="D49" s="837"/>
      <c r="E49" s="837"/>
      <c r="F49" s="838"/>
      <c r="G49" s="162" t="s">
        <v>400</v>
      </c>
      <c r="H49" s="294">
        <v>127</v>
      </c>
      <c r="I49" s="294">
        <f>227+74+72+87+79+96+127</f>
        <v>762</v>
      </c>
      <c r="J49" s="104"/>
      <c r="K49" s="104"/>
    </row>
    <row r="50" spans="2:11" ht="82.25" customHeight="1" x14ac:dyDescent="0.15">
      <c r="B50" s="118" t="s">
        <v>281</v>
      </c>
      <c r="C50" s="827" t="s">
        <v>46</v>
      </c>
      <c r="D50" s="828"/>
      <c r="E50" s="828"/>
      <c r="F50" s="828"/>
      <c r="G50" s="828"/>
      <c r="H50" s="828"/>
      <c r="I50" s="829"/>
      <c r="J50" s="104"/>
      <c r="K50" s="104"/>
    </row>
    <row r="51" spans="2:11" ht="90" customHeight="1" x14ac:dyDescent="0.15">
      <c r="B51" s="120" t="s">
        <v>282</v>
      </c>
      <c r="C51" s="827" t="s">
        <v>475</v>
      </c>
      <c r="D51" s="828"/>
      <c r="E51" s="828"/>
      <c r="F51" s="828"/>
      <c r="G51" s="828"/>
      <c r="H51" s="828"/>
      <c r="I51" s="829"/>
      <c r="J51" s="104"/>
      <c r="K51" s="104"/>
    </row>
    <row r="52" spans="2:11" ht="22.5" customHeight="1" x14ac:dyDescent="0.15">
      <c r="B52" s="512" t="s">
        <v>283</v>
      </c>
      <c r="C52" s="513"/>
      <c r="D52" s="513"/>
      <c r="E52" s="513"/>
      <c r="F52" s="513"/>
      <c r="G52" s="513"/>
      <c r="H52" s="513"/>
      <c r="I52" s="514"/>
      <c r="J52" s="104"/>
      <c r="K52" s="104"/>
    </row>
    <row r="53" spans="2:11" ht="22.5" customHeight="1" x14ac:dyDescent="0.15">
      <c r="B53" s="508" t="s">
        <v>284</v>
      </c>
      <c r="C53" s="141" t="s">
        <v>285</v>
      </c>
      <c r="D53" s="510" t="s">
        <v>286</v>
      </c>
      <c r="E53" s="510"/>
      <c r="F53" s="510"/>
      <c r="G53" s="510" t="s">
        <v>287</v>
      </c>
      <c r="H53" s="510"/>
      <c r="I53" s="511"/>
      <c r="J53" s="105"/>
      <c r="K53" s="105"/>
    </row>
    <row r="54" spans="2:11" ht="30.75" customHeight="1" x14ac:dyDescent="0.15">
      <c r="B54" s="509"/>
      <c r="C54" s="244"/>
      <c r="D54" s="738"/>
      <c r="E54" s="738"/>
      <c r="F54" s="738"/>
      <c r="G54" s="738"/>
      <c r="H54" s="738"/>
      <c r="I54" s="739"/>
      <c r="J54" s="105"/>
      <c r="K54" s="105"/>
    </row>
    <row r="55" spans="2:11" ht="32.25" customHeight="1" x14ac:dyDescent="0.15">
      <c r="B55" s="121" t="s">
        <v>288</v>
      </c>
      <c r="C55" s="738" t="s">
        <v>401</v>
      </c>
      <c r="D55" s="738"/>
      <c r="E55" s="738"/>
      <c r="F55" s="738"/>
      <c r="G55" s="738"/>
      <c r="H55" s="738"/>
      <c r="I55" s="739"/>
      <c r="J55" s="106"/>
      <c r="K55" s="106"/>
    </row>
    <row r="56" spans="2:11" ht="28.5" customHeight="1" x14ac:dyDescent="0.15">
      <c r="B56" s="122" t="s">
        <v>290</v>
      </c>
      <c r="C56" s="738" t="s">
        <v>401</v>
      </c>
      <c r="D56" s="738"/>
      <c r="E56" s="738"/>
      <c r="F56" s="738"/>
      <c r="G56" s="738"/>
      <c r="H56" s="738"/>
      <c r="I56" s="739"/>
      <c r="J56" s="106"/>
      <c r="K56" s="106"/>
    </row>
    <row r="57" spans="2:11" ht="30" customHeight="1" x14ac:dyDescent="0.15">
      <c r="B57" s="120" t="s">
        <v>291</v>
      </c>
      <c r="C57" s="815" t="s">
        <v>292</v>
      </c>
      <c r="D57" s="816"/>
      <c r="E57" s="816"/>
      <c r="F57" s="816"/>
      <c r="G57" s="816"/>
      <c r="H57" s="816"/>
      <c r="I57" s="817"/>
      <c r="J57" s="107"/>
      <c r="K57" s="107"/>
    </row>
    <row r="58" spans="2:11" ht="31.5" customHeight="1" thickBot="1" x14ac:dyDescent="0.2">
      <c r="B58" s="116" t="s">
        <v>293</v>
      </c>
      <c r="C58" s="818" t="s">
        <v>402</v>
      </c>
      <c r="D58" s="819"/>
      <c r="E58" s="819"/>
      <c r="F58" s="819"/>
      <c r="G58" s="819"/>
      <c r="H58" s="819"/>
      <c r="I58" s="820"/>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63"/>
      <c r="C2" s="461" t="s">
        <v>0</v>
      </c>
      <c r="D2" s="461"/>
      <c r="E2" s="461"/>
      <c r="F2" s="461"/>
      <c r="G2" s="461"/>
      <c r="H2" s="461"/>
      <c r="I2" s="465"/>
      <c r="J2" s="10"/>
      <c r="K2" s="10"/>
      <c r="M2" s="11" t="s">
        <v>67</v>
      </c>
    </row>
    <row r="3" spans="2:14" ht="25.5" customHeight="1" x14ac:dyDescent="0.15">
      <c r="B3" s="464"/>
      <c r="C3" s="462" t="s">
        <v>1</v>
      </c>
      <c r="D3" s="462"/>
      <c r="E3" s="462"/>
      <c r="F3" s="462"/>
      <c r="G3" s="462"/>
      <c r="H3" s="462"/>
      <c r="I3" s="466"/>
      <c r="J3" s="10"/>
      <c r="K3" s="10"/>
      <c r="M3" s="11" t="s">
        <v>68</v>
      </c>
    </row>
    <row r="4" spans="2:14" ht="25.5" customHeight="1" x14ac:dyDescent="0.15">
      <c r="B4" s="464"/>
      <c r="C4" s="462" t="s">
        <v>69</v>
      </c>
      <c r="D4" s="462"/>
      <c r="E4" s="462"/>
      <c r="F4" s="462"/>
      <c r="G4" s="462"/>
      <c r="H4" s="462"/>
      <c r="I4" s="466"/>
      <c r="J4" s="10"/>
      <c r="K4" s="10"/>
      <c r="M4" s="11" t="s">
        <v>70</v>
      </c>
    </row>
    <row r="5" spans="2:14" ht="25.5" customHeight="1" x14ac:dyDescent="0.15">
      <c r="B5" s="464"/>
      <c r="C5" s="462" t="s">
        <v>71</v>
      </c>
      <c r="D5" s="462"/>
      <c r="E5" s="462"/>
      <c r="F5" s="462"/>
      <c r="G5" s="467" t="s">
        <v>72</v>
      </c>
      <c r="H5" s="467"/>
      <c r="I5" s="466"/>
      <c r="J5" s="10"/>
      <c r="K5" s="10"/>
      <c r="M5" s="11" t="s">
        <v>73</v>
      </c>
    </row>
    <row r="6" spans="2:14" ht="23.25" customHeight="1" x14ac:dyDescent="0.15">
      <c r="B6" s="446" t="s">
        <v>74</v>
      </c>
      <c r="C6" s="447"/>
      <c r="D6" s="447"/>
      <c r="E6" s="447"/>
      <c r="F6" s="447"/>
      <c r="G6" s="447"/>
      <c r="H6" s="447"/>
      <c r="I6" s="448"/>
      <c r="J6" s="12"/>
      <c r="K6" s="12"/>
    </row>
    <row r="7" spans="2:14" ht="24" customHeight="1" x14ac:dyDescent="0.15">
      <c r="B7" s="449" t="s">
        <v>75</v>
      </c>
      <c r="C7" s="450"/>
      <c r="D7" s="450"/>
      <c r="E7" s="450"/>
      <c r="F7" s="450"/>
      <c r="G7" s="450"/>
      <c r="H7" s="450"/>
      <c r="I7" s="451"/>
      <c r="J7" s="13"/>
      <c r="K7" s="13"/>
    </row>
    <row r="8" spans="2:14" ht="24" customHeight="1" x14ac:dyDescent="0.15">
      <c r="B8" s="452" t="s">
        <v>76</v>
      </c>
      <c r="C8" s="453"/>
      <c r="D8" s="453"/>
      <c r="E8" s="453"/>
      <c r="F8" s="453"/>
      <c r="G8" s="453"/>
      <c r="H8" s="453"/>
      <c r="I8" s="454"/>
      <c r="J8" s="40"/>
      <c r="K8" s="40"/>
      <c r="N8" s="6" t="s">
        <v>77</v>
      </c>
    </row>
    <row r="9" spans="2:14" ht="30.75" customHeight="1" x14ac:dyDescent="0.15">
      <c r="B9" s="62" t="s">
        <v>78</v>
      </c>
      <c r="C9" s="41">
        <v>14</v>
      </c>
      <c r="D9" s="458" t="s">
        <v>79</v>
      </c>
      <c r="E9" s="458"/>
      <c r="F9" s="409" t="s">
        <v>403</v>
      </c>
      <c r="G9" s="410"/>
      <c r="H9" s="410"/>
      <c r="I9" s="411"/>
      <c r="J9" s="14"/>
      <c r="K9" s="14"/>
      <c r="M9" s="11" t="s">
        <v>81</v>
      </c>
      <c r="N9" s="6" t="s">
        <v>82</v>
      </c>
    </row>
    <row r="10" spans="2:14" ht="30.75" customHeight="1" x14ac:dyDescent="0.15">
      <c r="B10" s="179" t="s">
        <v>83</v>
      </c>
      <c r="C10" s="180" t="s">
        <v>84</v>
      </c>
      <c r="D10" s="459" t="s">
        <v>85</v>
      </c>
      <c r="E10" s="460"/>
      <c r="F10" s="443" t="s">
        <v>86</v>
      </c>
      <c r="G10" s="444"/>
      <c r="H10" s="181" t="s">
        <v>87</v>
      </c>
      <c r="I10" s="245" t="s">
        <v>84</v>
      </c>
      <c r="J10" s="15"/>
      <c r="K10" s="15"/>
      <c r="M10" s="11" t="s">
        <v>88</v>
      </c>
      <c r="N10" s="6" t="s">
        <v>89</v>
      </c>
    </row>
    <row r="11" spans="2:14" ht="30.75" customHeight="1" x14ac:dyDescent="0.15">
      <c r="B11" s="179" t="s">
        <v>90</v>
      </c>
      <c r="C11" s="455" t="s">
        <v>91</v>
      </c>
      <c r="D11" s="455"/>
      <c r="E11" s="455"/>
      <c r="F11" s="455"/>
      <c r="G11" s="181" t="s">
        <v>92</v>
      </c>
      <c r="H11" s="456">
        <v>1032</v>
      </c>
      <c r="I11" s="457"/>
      <c r="J11" s="16"/>
      <c r="K11" s="16"/>
      <c r="M11" s="11" t="s">
        <v>93</v>
      </c>
      <c r="N11" s="6" t="s">
        <v>44</v>
      </c>
    </row>
    <row r="12" spans="2:14" ht="30.75" customHeight="1" x14ac:dyDescent="0.15">
      <c r="B12" s="179" t="s">
        <v>94</v>
      </c>
      <c r="C12" s="440" t="s">
        <v>88</v>
      </c>
      <c r="D12" s="440"/>
      <c r="E12" s="440"/>
      <c r="F12" s="440"/>
      <c r="G12" s="181" t="s">
        <v>95</v>
      </c>
      <c r="H12" s="839" t="s">
        <v>404</v>
      </c>
      <c r="I12" s="840"/>
      <c r="J12" s="17"/>
      <c r="K12" s="17"/>
      <c r="M12" s="18" t="s">
        <v>97</v>
      </c>
    </row>
    <row r="13" spans="2:14" ht="30.75" customHeight="1" x14ac:dyDescent="0.15">
      <c r="B13" s="179" t="s">
        <v>98</v>
      </c>
      <c r="C13" s="436" t="s">
        <v>99</v>
      </c>
      <c r="D13" s="436"/>
      <c r="E13" s="436"/>
      <c r="F13" s="436"/>
      <c r="G13" s="436"/>
      <c r="H13" s="436"/>
      <c r="I13" s="437"/>
      <c r="J13" s="19"/>
      <c r="K13" s="19"/>
      <c r="M13" s="18"/>
    </row>
    <row r="14" spans="2:14" ht="30.75" customHeight="1" x14ac:dyDescent="0.15">
      <c r="B14" s="179" t="s">
        <v>100</v>
      </c>
      <c r="C14" s="443" t="s">
        <v>405</v>
      </c>
      <c r="D14" s="444"/>
      <c r="E14" s="444"/>
      <c r="F14" s="444"/>
      <c r="G14" s="444"/>
      <c r="H14" s="444"/>
      <c r="I14" s="445"/>
      <c r="J14" s="15"/>
      <c r="K14" s="15"/>
      <c r="M14" s="18"/>
      <c r="N14" s="6" t="s">
        <v>102</v>
      </c>
    </row>
    <row r="15" spans="2:14" ht="30.75" customHeight="1" x14ac:dyDescent="0.15">
      <c r="B15" s="179" t="s">
        <v>103</v>
      </c>
      <c r="C15" s="409" t="s">
        <v>406</v>
      </c>
      <c r="D15" s="410"/>
      <c r="E15" s="410"/>
      <c r="F15" s="841"/>
      <c r="G15" s="181" t="s">
        <v>105</v>
      </c>
      <c r="H15" s="432" t="s">
        <v>106</v>
      </c>
      <c r="I15" s="433"/>
      <c r="J15" s="15"/>
      <c r="K15" s="15"/>
      <c r="M15" s="18" t="s">
        <v>107</v>
      </c>
      <c r="N15" s="6" t="s">
        <v>84</v>
      </c>
    </row>
    <row r="16" spans="2:14" ht="30.75" customHeight="1" x14ac:dyDescent="0.15">
      <c r="B16" s="179" t="s">
        <v>108</v>
      </c>
      <c r="C16" s="434" t="s">
        <v>109</v>
      </c>
      <c r="D16" s="435"/>
      <c r="E16" s="435"/>
      <c r="F16" s="435"/>
      <c r="G16" s="181" t="s">
        <v>110</v>
      </c>
      <c r="H16" s="432" t="s">
        <v>44</v>
      </c>
      <c r="I16" s="433"/>
      <c r="J16" s="15"/>
      <c r="K16" s="15"/>
      <c r="M16" s="18" t="s">
        <v>111</v>
      </c>
    </row>
    <row r="17" spans="2:14" ht="36" customHeight="1" x14ac:dyDescent="0.15">
      <c r="B17" s="179" t="s">
        <v>112</v>
      </c>
      <c r="C17" s="842" t="s">
        <v>407</v>
      </c>
      <c r="D17" s="843"/>
      <c r="E17" s="843"/>
      <c r="F17" s="843"/>
      <c r="G17" s="843"/>
      <c r="H17" s="843"/>
      <c r="I17" s="844"/>
      <c r="J17" s="19"/>
      <c r="K17" s="19"/>
      <c r="M17" s="18" t="s">
        <v>114</v>
      </c>
      <c r="N17" s="6" t="s">
        <v>115</v>
      </c>
    </row>
    <row r="18" spans="2:14" ht="30.75" customHeight="1" x14ac:dyDescent="0.15">
      <c r="B18" s="179" t="s">
        <v>116</v>
      </c>
      <c r="C18" s="409" t="s">
        <v>408</v>
      </c>
      <c r="D18" s="410"/>
      <c r="E18" s="410"/>
      <c r="F18" s="410"/>
      <c r="G18" s="410"/>
      <c r="H18" s="410"/>
      <c r="I18" s="411"/>
      <c r="J18" s="20"/>
      <c r="K18" s="20"/>
      <c r="M18" s="18" t="s">
        <v>118</v>
      </c>
      <c r="N18" s="6" t="s">
        <v>119</v>
      </c>
    </row>
    <row r="19" spans="2:14" ht="30.75" customHeight="1" x14ac:dyDescent="0.15">
      <c r="B19" s="179" t="s">
        <v>120</v>
      </c>
      <c r="C19" s="845" t="s">
        <v>409</v>
      </c>
      <c r="D19" s="846"/>
      <c r="E19" s="846"/>
      <c r="F19" s="846"/>
      <c r="G19" s="846"/>
      <c r="H19" s="846"/>
      <c r="I19" s="847"/>
      <c r="J19" s="21"/>
      <c r="K19" s="21"/>
      <c r="M19" s="18"/>
      <c r="N19" s="6" t="s">
        <v>122</v>
      </c>
    </row>
    <row r="20" spans="2:14" ht="30.75" customHeight="1" x14ac:dyDescent="0.15">
      <c r="B20" s="179" t="s">
        <v>123</v>
      </c>
      <c r="C20" s="848" t="s">
        <v>43</v>
      </c>
      <c r="D20" s="849"/>
      <c r="E20" s="849"/>
      <c r="F20" s="849"/>
      <c r="G20" s="849"/>
      <c r="H20" s="849"/>
      <c r="I20" s="850"/>
      <c r="J20" s="22"/>
      <c r="K20" s="22"/>
      <c r="M20" s="18" t="s">
        <v>106</v>
      </c>
      <c r="N20" s="6" t="s">
        <v>124</v>
      </c>
    </row>
    <row r="21" spans="2:14" ht="27.75" customHeight="1" x14ac:dyDescent="0.15">
      <c r="B21" s="425" t="s">
        <v>125</v>
      </c>
      <c r="C21" s="427" t="s">
        <v>126</v>
      </c>
      <c r="D21" s="427"/>
      <c r="E21" s="427"/>
      <c r="F21" s="428" t="s">
        <v>127</v>
      </c>
      <c r="G21" s="428"/>
      <c r="H21" s="428"/>
      <c r="I21" s="429"/>
      <c r="J21" s="23"/>
      <c r="K21" s="23"/>
      <c r="M21" s="18" t="s">
        <v>128</v>
      </c>
      <c r="N21" s="6" t="s">
        <v>129</v>
      </c>
    </row>
    <row r="22" spans="2:14" ht="27" customHeight="1" x14ac:dyDescent="0.15">
      <c r="B22" s="426"/>
      <c r="C22" s="845" t="s">
        <v>410</v>
      </c>
      <c r="D22" s="846"/>
      <c r="E22" s="851"/>
      <c r="F22" s="845" t="s">
        <v>411</v>
      </c>
      <c r="G22" s="846"/>
      <c r="H22" s="846"/>
      <c r="I22" s="847"/>
      <c r="J22" s="21"/>
      <c r="K22" s="21"/>
      <c r="M22" s="18" t="s">
        <v>132</v>
      </c>
      <c r="N22" s="6" t="s">
        <v>133</v>
      </c>
    </row>
    <row r="23" spans="2:14" ht="39.75" customHeight="1" x14ac:dyDescent="0.15">
      <c r="B23" s="179" t="s">
        <v>134</v>
      </c>
      <c r="C23" s="443" t="s">
        <v>43</v>
      </c>
      <c r="D23" s="444"/>
      <c r="E23" s="852"/>
      <c r="F23" s="443" t="s">
        <v>43</v>
      </c>
      <c r="G23" s="444"/>
      <c r="H23" s="444"/>
      <c r="I23" s="445"/>
      <c r="J23" s="15"/>
      <c r="K23" s="15"/>
      <c r="M23" s="18"/>
      <c r="N23" s="6" t="s">
        <v>99</v>
      </c>
    </row>
    <row r="24" spans="2:14" ht="44.25" customHeight="1" x14ac:dyDescent="0.15">
      <c r="B24" s="179" t="s">
        <v>135</v>
      </c>
      <c r="C24" s="853" t="s">
        <v>412</v>
      </c>
      <c r="D24" s="854"/>
      <c r="E24" s="855"/>
      <c r="F24" s="845" t="s">
        <v>413</v>
      </c>
      <c r="G24" s="846"/>
      <c r="H24" s="846"/>
      <c r="I24" s="847"/>
      <c r="J24" s="20"/>
      <c r="K24" s="20"/>
      <c r="M24" s="24"/>
      <c r="N24" s="6" t="s">
        <v>138</v>
      </c>
    </row>
    <row r="25" spans="2:14" ht="29.25" customHeight="1" x14ac:dyDescent="0.15">
      <c r="B25" s="179" t="s">
        <v>139</v>
      </c>
      <c r="C25" s="412" t="s">
        <v>109</v>
      </c>
      <c r="D25" s="413"/>
      <c r="E25" s="414"/>
      <c r="F25" s="181" t="s">
        <v>140</v>
      </c>
      <c r="G25" s="856">
        <v>74</v>
      </c>
      <c r="H25" s="857"/>
      <c r="I25" s="858"/>
      <c r="J25" s="25"/>
      <c r="K25" s="25"/>
      <c r="M25" s="24"/>
    </row>
    <row r="26" spans="2:14" ht="27" customHeight="1" x14ac:dyDescent="0.15">
      <c r="B26" s="179" t="s">
        <v>141</v>
      </c>
      <c r="C26" s="409" t="s">
        <v>142</v>
      </c>
      <c r="D26" s="410"/>
      <c r="E26" s="841"/>
      <c r="F26" s="181" t="s">
        <v>143</v>
      </c>
      <c r="G26" s="856">
        <v>0</v>
      </c>
      <c r="H26" s="857"/>
      <c r="I26" s="858"/>
      <c r="J26" s="26"/>
      <c r="K26" s="26"/>
      <c r="M26" s="24"/>
    </row>
    <row r="27" spans="2:14" ht="47.25" customHeight="1" x14ac:dyDescent="0.15">
      <c r="B27" s="183" t="s">
        <v>144</v>
      </c>
      <c r="C27" s="443" t="s">
        <v>114</v>
      </c>
      <c r="D27" s="444"/>
      <c r="E27" s="852"/>
      <c r="F27" s="184" t="s">
        <v>145</v>
      </c>
      <c r="G27" s="419" t="s">
        <v>146</v>
      </c>
      <c r="H27" s="420"/>
      <c r="I27" s="421"/>
      <c r="J27" s="23"/>
      <c r="K27" s="23"/>
      <c r="M27" s="24"/>
    </row>
    <row r="28" spans="2:14" ht="30" customHeight="1" x14ac:dyDescent="0.15">
      <c r="B28" s="389" t="s">
        <v>147</v>
      </c>
      <c r="C28" s="390"/>
      <c r="D28" s="390"/>
      <c r="E28" s="390"/>
      <c r="F28" s="390"/>
      <c r="G28" s="390"/>
      <c r="H28" s="390"/>
      <c r="I28" s="391"/>
      <c r="J28" s="40"/>
      <c r="K28" s="40"/>
      <c r="M28" s="24"/>
    </row>
    <row r="29" spans="2:14" ht="56.25" customHeight="1" x14ac:dyDescent="0.15">
      <c r="B29" s="185" t="s">
        <v>148</v>
      </c>
      <c r="C29" s="186" t="s">
        <v>149</v>
      </c>
      <c r="D29" s="186" t="s">
        <v>150</v>
      </c>
      <c r="E29" s="186" t="s">
        <v>151</v>
      </c>
      <c r="F29" s="186" t="s">
        <v>152</v>
      </c>
      <c r="G29" s="187" t="s">
        <v>153</v>
      </c>
      <c r="H29" s="187" t="s">
        <v>154</v>
      </c>
      <c r="I29" s="188" t="s">
        <v>155</v>
      </c>
      <c r="J29" s="51" t="s">
        <v>156</v>
      </c>
      <c r="K29" s="21"/>
      <c r="M29" s="24"/>
    </row>
    <row r="30" spans="2:14" ht="19.5" customHeight="1" x14ac:dyDescent="0.15">
      <c r="B30" s="189" t="s">
        <v>157</v>
      </c>
      <c r="C30" s="246">
        <v>0</v>
      </c>
      <c r="D30" s="247">
        <f>+C30</f>
        <v>0</v>
      </c>
      <c r="E30" s="248">
        <v>0</v>
      </c>
      <c r="F30" s="249">
        <f>+E30</f>
        <v>0</v>
      </c>
      <c r="G30" s="250" t="e">
        <f>+C30/E30</f>
        <v>#DIV/0!</v>
      </c>
      <c r="H30" s="251" t="e">
        <f>+D30/F30</f>
        <v>#DIV/0!</v>
      </c>
      <c r="I30" s="252" t="e">
        <f>+D30/$G$26</f>
        <v>#DIV/0!</v>
      </c>
      <c r="J30" s="50">
        <v>0.99</v>
      </c>
      <c r="K30" s="27"/>
      <c r="M30" s="24"/>
    </row>
    <row r="31" spans="2:14" ht="19.5" customHeight="1" x14ac:dyDescent="0.15">
      <c r="B31" s="189" t="s">
        <v>158</v>
      </c>
      <c r="C31" s="246">
        <v>0</v>
      </c>
      <c r="D31" s="247">
        <f>+D30+C31</f>
        <v>0</v>
      </c>
      <c r="E31" s="248">
        <v>0</v>
      </c>
      <c r="F31" s="249">
        <f>+F30+E31</f>
        <v>0</v>
      </c>
      <c r="G31" s="250" t="e">
        <f t="shared" ref="G31:G41" si="0">+C31/E31</f>
        <v>#DIV/0!</v>
      </c>
      <c r="H31" s="251" t="e">
        <f t="shared" ref="H31:H41" si="1">+D31/F31</f>
        <v>#DIV/0!</v>
      </c>
      <c r="I31" s="252" t="e">
        <f t="shared" ref="I31:I40" si="2">+D31/$G$26</f>
        <v>#DIV/0!</v>
      </c>
      <c r="J31" s="50">
        <v>0.99</v>
      </c>
      <c r="K31" s="27"/>
      <c r="M31" s="24"/>
    </row>
    <row r="32" spans="2:14" ht="19.5" customHeight="1" x14ac:dyDescent="0.15">
      <c r="B32" s="189" t="s">
        <v>159</v>
      </c>
      <c r="C32" s="246">
        <v>0</v>
      </c>
      <c r="D32" s="247">
        <f t="shared" ref="D32:D41" si="3">+D31+C32</f>
        <v>0</v>
      </c>
      <c r="E32" s="248">
        <v>0</v>
      </c>
      <c r="F32" s="249">
        <f t="shared" ref="F32:F41" si="4">+F31+E32</f>
        <v>0</v>
      </c>
      <c r="G32" s="250" t="e">
        <f t="shared" si="0"/>
        <v>#DIV/0!</v>
      </c>
      <c r="H32" s="251" t="e">
        <f t="shared" si="1"/>
        <v>#DIV/0!</v>
      </c>
      <c r="I32" s="252" t="e">
        <f t="shared" si="2"/>
        <v>#DIV/0!</v>
      </c>
      <c r="J32" s="50">
        <v>0.99</v>
      </c>
      <c r="K32" s="27"/>
      <c r="M32" s="24"/>
    </row>
    <row r="33" spans="2:11" ht="19.5" customHeight="1" x14ac:dyDescent="0.15">
      <c r="B33" s="189" t="s">
        <v>160</v>
      </c>
      <c r="C33" s="246">
        <v>0</v>
      </c>
      <c r="D33" s="247">
        <f t="shared" si="3"/>
        <v>0</v>
      </c>
      <c r="E33" s="248">
        <v>0</v>
      </c>
      <c r="F33" s="249">
        <f t="shared" si="4"/>
        <v>0</v>
      </c>
      <c r="G33" s="250" t="e">
        <f t="shared" si="0"/>
        <v>#DIV/0!</v>
      </c>
      <c r="H33" s="251" t="e">
        <f t="shared" si="1"/>
        <v>#DIV/0!</v>
      </c>
      <c r="I33" s="252" t="e">
        <f t="shared" si="2"/>
        <v>#DIV/0!</v>
      </c>
      <c r="J33" s="50">
        <v>0.99</v>
      </c>
      <c r="K33" s="27"/>
    </row>
    <row r="34" spans="2:11" ht="19.5" customHeight="1" x14ac:dyDescent="0.15">
      <c r="B34" s="189" t="s">
        <v>161</v>
      </c>
      <c r="C34" s="246">
        <v>0</v>
      </c>
      <c r="D34" s="247">
        <f t="shared" si="3"/>
        <v>0</v>
      </c>
      <c r="E34" s="248">
        <v>0</v>
      </c>
      <c r="F34" s="249">
        <f t="shared" si="4"/>
        <v>0</v>
      </c>
      <c r="G34" s="250" t="e">
        <f t="shared" si="0"/>
        <v>#DIV/0!</v>
      </c>
      <c r="H34" s="251" t="e">
        <f t="shared" si="1"/>
        <v>#DIV/0!</v>
      </c>
      <c r="I34" s="252" t="e">
        <f t="shared" si="2"/>
        <v>#DIV/0!</v>
      </c>
      <c r="J34" s="50">
        <v>0.99</v>
      </c>
      <c r="K34" s="27"/>
    </row>
    <row r="35" spans="2:11" ht="19.5" customHeight="1" x14ac:dyDescent="0.15">
      <c r="B35" s="189" t="s">
        <v>162</v>
      </c>
      <c r="C35" s="246">
        <v>0</v>
      </c>
      <c r="D35" s="247">
        <f t="shared" si="3"/>
        <v>0</v>
      </c>
      <c r="E35" s="248">
        <v>0</v>
      </c>
      <c r="F35" s="249">
        <f t="shared" si="4"/>
        <v>0</v>
      </c>
      <c r="G35" s="250" t="e">
        <f t="shared" si="0"/>
        <v>#DIV/0!</v>
      </c>
      <c r="H35" s="251" t="e">
        <f t="shared" si="1"/>
        <v>#DIV/0!</v>
      </c>
      <c r="I35" s="252" t="e">
        <f t="shared" si="2"/>
        <v>#DIV/0!</v>
      </c>
      <c r="J35" s="50">
        <v>0.99</v>
      </c>
      <c r="K35" s="27"/>
    </row>
    <row r="36" spans="2:11" ht="19.5" customHeight="1" x14ac:dyDescent="0.15">
      <c r="B36" s="189" t="s">
        <v>163</v>
      </c>
      <c r="C36" s="246">
        <v>0</v>
      </c>
      <c r="D36" s="247">
        <f t="shared" si="3"/>
        <v>0</v>
      </c>
      <c r="E36" s="248">
        <v>0</v>
      </c>
      <c r="F36" s="249">
        <f t="shared" si="4"/>
        <v>0</v>
      </c>
      <c r="G36" s="250" t="e">
        <f t="shared" si="0"/>
        <v>#DIV/0!</v>
      </c>
      <c r="H36" s="251" t="e">
        <f t="shared" si="1"/>
        <v>#DIV/0!</v>
      </c>
      <c r="I36" s="252" t="e">
        <f t="shared" si="2"/>
        <v>#DIV/0!</v>
      </c>
      <c r="J36" s="50">
        <v>0.99</v>
      </c>
      <c r="K36" s="27"/>
    </row>
    <row r="37" spans="2:11" ht="19.5" customHeight="1" x14ac:dyDescent="0.15">
      <c r="B37" s="189" t="s">
        <v>164</v>
      </c>
      <c r="C37" s="246">
        <v>0</v>
      </c>
      <c r="D37" s="247">
        <f t="shared" si="3"/>
        <v>0</v>
      </c>
      <c r="E37" s="248">
        <v>0</v>
      </c>
      <c r="F37" s="249">
        <f t="shared" si="4"/>
        <v>0</v>
      </c>
      <c r="G37" s="250" t="e">
        <f t="shared" si="0"/>
        <v>#DIV/0!</v>
      </c>
      <c r="H37" s="251" t="e">
        <f t="shared" si="1"/>
        <v>#DIV/0!</v>
      </c>
      <c r="I37" s="252" t="e">
        <f t="shared" si="2"/>
        <v>#DIV/0!</v>
      </c>
      <c r="J37" s="50">
        <v>0.99</v>
      </c>
      <c r="K37" s="27"/>
    </row>
    <row r="38" spans="2:11" ht="19.5" customHeight="1" x14ac:dyDescent="0.15">
      <c r="B38" s="189" t="s">
        <v>165</v>
      </c>
      <c r="C38" s="246">
        <v>0</v>
      </c>
      <c r="D38" s="247">
        <f t="shared" si="3"/>
        <v>0</v>
      </c>
      <c r="E38" s="248">
        <v>0</v>
      </c>
      <c r="F38" s="249">
        <f t="shared" si="4"/>
        <v>0</v>
      </c>
      <c r="G38" s="250" t="e">
        <f t="shared" si="0"/>
        <v>#DIV/0!</v>
      </c>
      <c r="H38" s="251" t="e">
        <f t="shared" si="1"/>
        <v>#DIV/0!</v>
      </c>
      <c r="I38" s="252" t="e">
        <f t="shared" si="2"/>
        <v>#DIV/0!</v>
      </c>
      <c r="J38" s="50">
        <v>0.99</v>
      </c>
      <c r="K38" s="27"/>
    </row>
    <row r="39" spans="2:11" ht="19.5" customHeight="1" x14ac:dyDescent="0.15">
      <c r="B39" s="189" t="s">
        <v>166</v>
      </c>
      <c r="C39" s="246">
        <v>0</v>
      </c>
      <c r="D39" s="247">
        <f t="shared" si="3"/>
        <v>0</v>
      </c>
      <c r="E39" s="248">
        <v>0</v>
      </c>
      <c r="F39" s="249">
        <f t="shared" si="4"/>
        <v>0</v>
      </c>
      <c r="G39" s="250" t="e">
        <f t="shared" si="0"/>
        <v>#DIV/0!</v>
      </c>
      <c r="H39" s="251" t="e">
        <f t="shared" si="1"/>
        <v>#DIV/0!</v>
      </c>
      <c r="I39" s="252" t="e">
        <f t="shared" si="2"/>
        <v>#DIV/0!</v>
      </c>
      <c r="J39" s="50">
        <v>0.99</v>
      </c>
      <c r="K39" s="27"/>
    </row>
    <row r="40" spans="2:11" ht="19.5" customHeight="1" x14ac:dyDescent="0.15">
      <c r="B40" s="189" t="s">
        <v>167</v>
      </c>
      <c r="C40" s="246">
        <v>0</v>
      </c>
      <c r="D40" s="247">
        <f t="shared" si="3"/>
        <v>0</v>
      </c>
      <c r="E40" s="248">
        <v>0</v>
      </c>
      <c r="F40" s="249">
        <f t="shared" si="4"/>
        <v>0</v>
      </c>
      <c r="G40" s="250" t="e">
        <f t="shared" si="0"/>
        <v>#DIV/0!</v>
      </c>
      <c r="H40" s="251" t="e">
        <f t="shared" si="1"/>
        <v>#DIV/0!</v>
      </c>
      <c r="I40" s="252" t="e">
        <f t="shared" si="2"/>
        <v>#DIV/0!</v>
      </c>
      <c r="J40" s="50">
        <v>0.99</v>
      </c>
      <c r="K40" s="27"/>
    </row>
    <row r="41" spans="2:11" ht="19.5" customHeight="1" x14ac:dyDescent="0.15">
      <c r="B41" s="189" t="s">
        <v>168</v>
      </c>
      <c r="C41" s="246">
        <v>0</v>
      </c>
      <c r="D41" s="247">
        <f t="shared" si="3"/>
        <v>0</v>
      </c>
      <c r="E41" s="248">
        <v>0</v>
      </c>
      <c r="F41" s="249">
        <f t="shared" si="4"/>
        <v>0</v>
      </c>
      <c r="G41" s="250" t="e">
        <f t="shared" si="0"/>
        <v>#DIV/0!</v>
      </c>
      <c r="H41" s="251" t="e">
        <f t="shared" si="1"/>
        <v>#DIV/0!</v>
      </c>
      <c r="I41" s="252" t="e">
        <f>+D41/$G$26</f>
        <v>#DIV/0!</v>
      </c>
      <c r="J41" s="50">
        <v>0.99</v>
      </c>
      <c r="K41" s="27"/>
    </row>
    <row r="42" spans="2:11" ht="54.75" customHeight="1" x14ac:dyDescent="0.15">
      <c r="B42" s="197" t="s">
        <v>169</v>
      </c>
      <c r="C42" s="367"/>
      <c r="D42" s="367"/>
      <c r="E42" s="367"/>
      <c r="F42" s="367"/>
      <c r="G42" s="367"/>
      <c r="H42" s="367"/>
      <c r="I42" s="385"/>
      <c r="J42" s="28"/>
      <c r="K42" s="28"/>
    </row>
    <row r="43" spans="2:11" ht="29.25" customHeight="1" x14ac:dyDescent="0.15">
      <c r="B43" s="389" t="s">
        <v>170</v>
      </c>
      <c r="C43" s="390"/>
      <c r="D43" s="390"/>
      <c r="E43" s="390"/>
      <c r="F43" s="390"/>
      <c r="G43" s="390"/>
      <c r="H43" s="390"/>
      <c r="I43" s="391"/>
      <c r="J43" s="40"/>
      <c r="K43" s="40"/>
    </row>
    <row r="44" spans="2:11" ht="32.25" customHeight="1" x14ac:dyDescent="0.15">
      <c r="B44" s="397"/>
      <c r="C44" s="398"/>
      <c r="D44" s="398"/>
      <c r="E44" s="398"/>
      <c r="F44" s="398"/>
      <c r="G44" s="398"/>
      <c r="H44" s="398"/>
      <c r="I44" s="399"/>
      <c r="J44" s="40"/>
      <c r="K44" s="40"/>
    </row>
    <row r="45" spans="2:11" ht="32.25" customHeight="1" x14ac:dyDescent="0.15">
      <c r="B45" s="400"/>
      <c r="C45" s="401"/>
      <c r="D45" s="401"/>
      <c r="E45" s="401"/>
      <c r="F45" s="401"/>
      <c r="G45" s="401"/>
      <c r="H45" s="401"/>
      <c r="I45" s="402"/>
      <c r="J45" s="28"/>
      <c r="K45" s="28"/>
    </row>
    <row r="46" spans="2:11" ht="32.25" customHeight="1" x14ac:dyDescent="0.15">
      <c r="B46" s="400"/>
      <c r="C46" s="401"/>
      <c r="D46" s="401"/>
      <c r="E46" s="401"/>
      <c r="F46" s="401"/>
      <c r="G46" s="401"/>
      <c r="H46" s="401"/>
      <c r="I46" s="402"/>
      <c r="J46" s="28"/>
      <c r="K46" s="28"/>
    </row>
    <row r="47" spans="2:11" ht="32.25" customHeight="1" x14ac:dyDescent="0.15">
      <c r="B47" s="400"/>
      <c r="C47" s="401"/>
      <c r="D47" s="401"/>
      <c r="E47" s="401"/>
      <c r="F47" s="401"/>
      <c r="G47" s="401"/>
      <c r="H47" s="401"/>
      <c r="I47" s="402"/>
      <c r="J47" s="28"/>
      <c r="K47" s="28"/>
    </row>
    <row r="48" spans="2:11" ht="32.25" customHeight="1" x14ac:dyDescent="0.15">
      <c r="B48" s="403"/>
      <c r="C48" s="404"/>
      <c r="D48" s="404"/>
      <c r="E48" s="404"/>
      <c r="F48" s="404"/>
      <c r="G48" s="404"/>
      <c r="H48" s="404"/>
      <c r="I48" s="405"/>
      <c r="J48" s="12"/>
      <c r="K48" s="12"/>
    </row>
    <row r="49" spans="2:11" ht="79.5" customHeight="1" x14ac:dyDescent="0.15">
      <c r="B49" s="179" t="s">
        <v>171</v>
      </c>
      <c r="C49" s="859"/>
      <c r="D49" s="860"/>
      <c r="E49" s="860"/>
      <c r="F49" s="860"/>
      <c r="G49" s="860"/>
      <c r="H49" s="860"/>
      <c r="I49" s="861"/>
      <c r="J49" s="29"/>
      <c r="K49" s="29"/>
    </row>
    <row r="50" spans="2:11" ht="26.25" customHeight="1" x14ac:dyDescent="0.15">
      <c r="B50" s="179" t="s">
        <v>172</v>
      </c>
      <c r="C50" s="862"/>
      <c r="D50" s="863"/>
      <c r="E50" s="863"/>
      <c r="F50" s="863"/>
      <c r="G50" s="863"/>
      <c r="H50" s="863"/>
      <c r="I50" s="864"/>
      <c r="J50" s="29"/>
      <c r="K50" s="29"/>
    </row>
    <row r="51" spans="2:11" ht="64.5" customHeight="1" x14ac:dyDescent="0.15">
      <c r="B51" s="198" t="s">
        <v>173</v>
      </c>
      <c r="C51" s="859"/>
      <c r="D51" s="860"/>
      <c r="E51" s="860"/>
      <c r="F51" s="860"/>
      <c r="G51" s="860"/>
      <c r="H51" s="860"/>
      <c r="I51" s="861"/>
      <c r="J51" s="29"/>
      <c r="K51" s="29"/>
    </row>
    <row r="52" spans="2:11" ht="29.25" customHeight="1" x14ac:dyDescent="0.15">
      <c r="B52" s="389" t="s">
        <v>174</v>
      </c>
      <c r="C52" s="390"/>
      <c r="D52" s="390"/>
      <c r="E52" s="390"/>
      <c r="F52" s="390"/>
      <c r="G52" s="390"/>
      <c r="H52" s="390"/>
      <c r="I52" s="391"/>
      <c r="J52" s="29"/>
      <c r="K52" s="29"/>
    </row>
    <row r="53" spans="2:11" ht="33" customHeight="1" x14ac:dyDescent="0.15">
      <c r="B53" s="392" t="s">
        <v>175</v>
      </c>
      <c r="C53" s="199" t="s">
        <v>176</v>
      </c>
      <c r="D53" s="393" t="s">
        <v>177</v>
      </c>
      <c r="E53" s="393"/>
      <c r="F53" s="393"/>
      <c r="G53" s="393" t="s">
        <v>178</v>
      </c>
      <c r="H53" s="393"/>
      <c r="I53" s="394"/>
      <c r="J53" s="30"/>
      <c r="K53" s="30"/>
    </row>
    <row r="54" spans="2:11" ht="31.5" customHeight="1" x14ac:dyDescent="0.15">
      <c r="B54" s="392"/>
      <c r="C54" s="253"/>
      <c r="D54" s="367"/>
      <c r="E54" s="367"/>
      <c r="F54" s="367"/>
      <c r="G54" s="395"/>
      <c r="H54" s="395"/>
      <c r="I54" s="396"/>
      <c r="J54" s="30"/>
      <c r="K54" s="30"/>
    </row>
    <row r="55" spans="2:11" ht="31.5" customHeight="1" x14ac:dyDescent="0.15">
      <c r="B55" s="198" t="s">
        <v>179</v>
      </c>
      <c r="C55" s="865" t="s">
        <v>414</v>
      </c>
      <c r="D55" s="866"/>
      <c r="E55" s="380" t="s">
        <v>181</v>
      </c>
      <c r="F55" s="380"/>
      <c r="G55" s="379" t="s">
        <v>415</v>
      </c>
      <c r="H55" s="379"/>
      <c r="I55" s="381"/>
      <c r="J55" s="31"/>
      <c r="K55" s="31"/>
    </row>
    <row r="56" spans="2:11" ht="31.5" customHeight="1" x14ac:dyDescent="0.15">
      <c r="B56" s="198" t="s">
        <v>183</v>
      </c>
      <c r="C56" s="367" t="s">
        <v>184</v>
      </c>
      <c r="D56" s="367"/>
      <c r="E56" s="382" t="s">
        <v>185</v>
      </c>
      <c r="F56" s="382"/>
      <c r="G56" s="379" t="s">
        <v>186</v>
      </c>
      <c r="H56" s="379"/>
      <c r="I56" s="381"/>
      <c r="J56" s="31"/>
      <c r="K56" s="31"/>
    </row>
    <row r="57" spans="2:11" ht="31.5" customHeight="1" x14ac:dyDescent="0.15">
      <c r="B57" s="198" t="s">
        <v>187</v>
      </c>
      <c r="C57" s="367"/>
      <c r="D57" s="367"/>
      <c r="E57" s="368" t="s">
        <v>188</v>
      </c>
      <c r="F57" s="369"/>
      <c r="G57" s="372"/>
      <c r="H57" s="373"/>
      <c r="I57" s="374"/>
      <c r="J57" s="32"/>
      <c r="K57" s="32"/>
    </row>
    <row r="58" spans="2:11" ht="31.5" customHeight="1" thickBot="1" x14ac:dyDescent="0.2">
      <c r="B58" s="201" t="s">
        <v>189</v>
      </c>
      <c r="C58" s="378"/>
      <c r="D58" s="378"/>
      <c r="E58" s="370"/>
      <c r="F58" s="371"/>
      <c r="G58" s="375"/>
      <c r="H58" s="376"/>
      <c r="I58" s="377"/>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84"/>
      <c r="C1" s="487" t="s">
        <v>0</v>
      </c>
      <c r="D1" s="488"/>
      <c r="E1" s="488"/>
      <c r="F1" s="488"/>
      <c r="G1" s="488"/>
      <c r="H1" s="489"/>
      <c r="I1" s="490"/>
      <c r="J1" s="491"/>
    </row>
    <row r="2" spans="2:11" ht="18" customHeight="1" thickBot="1" x14ac:dyDescent="0.25">
      <c r="B2" s="485"/>
      <c r="C2" s="487" t="s">
        <v>1</v>
      </c>
      <c r="D2" s="488"/>
      <c r="E2" s="488"/>
      <c r="F2" s="488"/>
      <c r="G2" s="488"/>
      <c r="H2" s="489"/>
      <c r="I2" s="492"/>
      <c r="J2" s="493"/>
    </row>
    <row r="3" spans="2:11" ht="18" customHeight="1" thickBot="1" x14ac:dyDescent="0.25">
      <c r="B3" s="485"/>
      <c r="C3" s="487" t="s">
        <v>416</v>
      </c>
      <c r="D3" s="488"/>
      <c r="E3" s="488"/>
      <c r="F3" s="488"/>
      <c r="G3" s="488"/>
      <c r="H3" s="489"/>
      <c r="I3" s="492"/>
      <c r="J3" s="493"/>
    </row>
    <row r="4" spans="2:11" ht="18" customHeight="1" thickBot="1" x14ac:dyDescent="0.25">
      <c r="B4" s="486"/>
      <c r="C4" s="487" t="s">
        <v>191</v>
      </c>
      <c r="D4" s="488"/>
      <c r="E4" s="488"/>
      <c r="F4" s="489"/>
      <c r="G4" s="496" t="s">
        <v>192</v>
      </c>
      <c r="H4" s="497"/>
      <c r="I4" s="494"/>
      <c r="J4" s="495"/>
    </row>
    <row r="5" spans="2:11" ht="18" customHeight="1" thickBot="1" x14ac:dyDescent="0.25">
      <c r="B5" s="35"/>
      <c r="C5" s="10"/>
      <c r="D5" s="10"/>
      <c r="E5" s="10"/>
      <c r="F5" s="10"/>
      <c r="G5" s="10"/>
      <c r="H5" s="10"/>
      <c r="I5" s="10"/>
      <c r="J5" s="36"/>
    </row>
    <row r="6" spans="2:11" ht="51.75" customHeight="1" thickBot="1" x14ac:dyDescent="0.25">
      <c r="B6" s="1" t="s">
        <v>417</v>
      </c>
      <c r="C6" s="498" t="s">
        <v>39</v>
      </c>
      <c r="D6" s="499"/>
      <c r="E6" s="500"/>
      <c r="F6" s="37"/>
      <c r="G6" s="10"/>
      <c r="H6" s="10"/>
      <c r="I6" s="10"/>
      <c r="J6" s="36"/>
    </row>
    <row r="7" spans="2:11" ht="32.25" customHeight="1" thickBot="1" x14ac:dyDescent="0.25">
      <c r="B7" s="2" t="s">
        <v>194</v>
      </c>
      <c r="C7" s="498" t="s">
        <v>86</v>
      </c>
      <c r="D7" s="499"/>
      <c r="E7" s="500"/>
      <c r="F7" s="37"/>
      <c r="G7" s="10"/>
      <c r="H7" s="10"/>
      <c r="I7" s="10"/>
      <c r="J7" s="36"/>
    </row>
    <row r="8" spans="2:11" ht="32.25" customHeight="1" thickBot="1" x14ac:dyDescent="0.25">
      <c r="B8" s="2" t="s">
        <v>195</v>
      </c>
      <c r="C8" s="498" t="s">
        <v>196</v>
      </c>
      <c r="D8" s="499"/>
      <c r="E8" s="500"/>
      <c r="F8" s="4"/>
      <c r="G8" s="10"/>
      <c r="H8" s="10"/>
      <c r="I8" s="10"/>
      <c r="J8" s="36"/>
    </row>
    <row r="9" spans="2:11" ht="33.75" customHeight="1" thickBot="1" x14ac:dyDescent="0.25">
      <c r="B9" s="2" t="s">
        <v>197</v>
      </c>
      <c r="C9" s="498" t="s">
        <v>186</v>
      </c>
      <c r="D9" s="499"/>
      <c r="E9" s="500"/>
      <c r="F9" s="37"/>
      <c r="G9" s="10"/>
      <c r="H9" s="10"/>
      <c r="I9" s="10"/>
      <c r="J9" s="36"/>
    </row>
    <row r="10" spans="2:11" ht="33.75" customHeight="1" thickBot="1" x14ac:dyDescent="0.25">
      <c r="B10" s="64" t="s">
        <v>198</v>
      </c>
      <c r="C10" s="498" t="s">
        <v>418</v>
      </c>
      <c r="D10" s="499"/>
      <c r="E10" s="500"/>
      <c r="F10" s="37"/>
      <c r="G10" s="10"/>
      <c r="H10" s="10"/>
      <c r="I10" s="10"/>
      <c r="J10" s="36"/>
    </row>
    <row r="11" spans="2:11" ht="34.5" customHeight="1" x14ac:dyDescent="0.2"/>
    <row r="12" spans="2:11" ht="21.75" customHeight="1" x14ac:dyDescent="0.2">
      <c r="B12" s="477" t="s">
        <v>419</v>
      </c>
      <c r="C12" s="478"/>
      <c r="D12" s="478"/>
      <c r="E12" s="478"/>
      <c r="F12" s="478"/>
      <c r="G12" s="478"/>
      <c r="H12" s="479"/>
      <c r="I12" s="873" t="s">
        <v>200</v>
      </c>
      <c r="J12" s="874"/>
      <c r="K12" s="874"/>
    </row>
    <row r="13" spans="2:11" s="39" customFormat="1" ht="30" customHeight="1" x14ac:dyDescent="0.2">
      <c r="B13" s="254" t="s">
        <v>201</v>
      </c>
      <c r="C13" s="254" t="s">
        <v>202</v>
      </c>
      <c r="D13" s="254" t="s">
        <v>203</v>
      </c>
      <c r="E13" s="254" t="s">
        <v>204</v>
      </c>
      <c r="F13" s="254" t="s">
        <v>205</v>
      </c>
      <c r="G13" s="254" t="s">
        <v>206</v>
      </c>
      <c r="H13" s="254" t="s">
        <v>207</v>
      </c>
      <c r="I13" s="255" t="s">
        <v>208</v>
      </c>
      <c r="J13" s="255" t="s">
        <v>209</v>
      </c>
      <c r="K13" s="255" t="s">
        <v>210</v>
      </c>
    </row>
    <row r="14" spans="2:11" s="39" customFormat="1" x14ac:dyDescent="0.2">
      <c r="B14" s="256"/>
      <c r="C14" s="257"/>
      <c r="D14" s="258"/>
      <c r="E14" s="259"/>
      <c r="F14" s="257"/>
      <c r="G14" s="258"/>
      <c r="H14" s="260"/>
      <c r="I14" s="261"/>
      <c r="J14" s="262"/>
      <c r="K14" s="259"/>
    </row>
    <row r="15" spans="2:11" ht="165" customHeight="1" x14ac:dyDescent="0.2">
      <c r="B15" s="256"/>
      <c r="C15" s="263"/>
      <c r="D15" s="258"/>
      <c r="E15" s="264"/>
      <c r="F15" s="265"/>
      <c r="G15" s="258"/>
      <c r="H15" s="260"/>
      <c r="I15" s="261"/>
      <c r="J15" s="262"/>
      <c r="K15" s="871"/>
    </row>
    <row r="16" spans="2:11" x14ac:dyDescent="0.2">
      <c r="B16" s="256"/>
      <c r="C16" s="257"/>
      <c r="D16" s="258"/>
      <c r="E16" s="259"/>
      <c r="F16" s="257"/>
      <c r="G16" s="258"/>
      <c r="H16" s="260"/>
      <c r="I16" s="261"/>
      <c r="J16" s="262"/>
      <c r="K16" s="872"/>
    </row>
    <row r="17" spans="2:12" x14ac:dyDescent="0.2">
      <c r="B17" s="256"/>
      <c r="C17" s="266"/>
      <c r="D17" s="258"/>
      <c r="E17" s="259"/>
      <c r="F17" s="266"/>
      <c r="G17" s="258"/>
      <c r="H17" s="267"/>
      <c r="I17" s="261"/>
      <c r="J17" s="262"/>
      <c r="K17" s="259"/>
    </row>
    <row r="18" spans="2:12" x14ac:dyDescent="0.2">
      <c r="B18" s="256"/>
      <c r="C18" s="266"/>
      <c r="D18" s="258"/>
      <c r="E18" s="259"/>
      <c r="F18" s="266"/>
      <c r="G18" s="258"/>
      <c r="H18" s="267"/>
      <c r="I18" s="268"/>
      <c r="J18" s="262"/>
      <c r="K18" s="269"/>
    </row>
    <row r="19" spans="2:12" ht="15" customHeight="1" x14ac:dyDescent="0.2">
      <c r="B19" s="867" t="s">
        <v>217</v>
      </c>
      <c r="C19" s="868"/>
      <c r="D19" s="270">
        <f>SUM(D15:D16)</f>
        <v>0</v>
      </c>
      <c r="E19" s="869" t="s">
        <v>217</v>
      </c>
      <c r="F19" s="870"/>
      <c r="G19" s="270">
        <v>1</v>
      </c>
      <c r="H19" s="271"/>
      <c r="I19" s="272">
        <f>SUM(I14:I18)</f>
        <v>0</v>
      </c>
      <c r="J19" s="273"/>
      <c r="K19" s="273"/>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74" t="s">
        <v>420</v>
      </c>
      <c r="L9" s="274" t="s">
        <v>421</v>
      </c>
    </row>
    <row r="10" spans="10:12" x14ac:dyDescent="0.2">
      <c r="J10" s="275" t="s">
        <v>422</v>
      </c>
      <c r="K10" s="275">
        <v>77</v>
      </c>
      <c r="L10" s="275">
        <v>2</v>
      </c>
    </row>
    <row r="11" spans="10:12" x14ac:dyDescent="0.2">
      <c r="J11" s="212"/>
      <c r="K11" s="212"/>
      <c r="L11" s="212">
        <v>37</v>
      </c>
    </row>
    <row r="12" spans="10:12" x14ac:dyDescent="0.2">
      <c r="J12" s="212"/>
      <c r="K12" s="212"/>
      <c r="L12" s="212">
        <v>43</v>
      </c>
    </row>
    <row r="13" spans="10:12" x14ac:dyDescent="0.2">
      <c r="K13" s="212" t="s">
        <v>423</v>
      </c>
      <c r="L13" s="276">
        <f>SUM(L10:L12)</f>
        <v>82</v>
      </c>
    </row>
    <row r="14" spans="10:12" x14ac:dyDescent="0.2">
      <c r="J14" s="275" t="s">
        <v>424</v>
      </c>
      <c r="K14" s="275">
        <v>115</v>
      </c>
      <c r="L14" s="275">
        <v>16</v>
      </c>
    </row>
    <row r="15" spans="10:12" x14ac:dyDescent="0.2">
      <c r="J15" s="212"/>
      <c r="K15" s="212"/>
      <c r="L15" s="212">
        <v>27</v>
      </c>
    </row>
    <row r="16" spans="10:12" x14ac:dyDescent="0.2">
      <c r="J16" s="212"/>
      <c r="K16" s="212"/>
      <c r="L16" s="212">
        <v>10</v>
      </c>
    </row>
    <row r="17" spans="10:14" x14ac:dyDescent="0.2">
      <c r="J17" s="212"/>
      <c r="K17" s="212" t="s">
        <v>423</v>
      </c>
      <c r="L17" s="276">
        <f>SUM(L14:L16)</f>
        <v>53</v>
      </c>
    </row>
    <row r="18" spans="10:14" x14ac:dyDescent="0.2">
      <c r="J18" s="275" t="s">
        <v>425</v>
      </c>
      <c r="K18" s="275">
        <v>7</v>
      </c>
      <c r="L18" s="275">
        <v>13</v>
      </c>
    </row>
    <row r="19" spans="10:14" x14ac:dyDescent="0.2">
      <c r="J19" s="212"/>
      <c r="K19" s="212"/>
      <c r="L19" s="212">
        <v>14</v>
      </c>
    </row>
    <row r="20" spans="10:14" x14ac:dyDescent="0.2">
      <c r="J20" s="212"/>
      <c r="K20" s="212"/>
      <c r="L20" s="212">
        <v>10</v>
      </c>
    </row>
    <row r="21" spans="10:14" x14ac:dyDescent="0.2">
      <c r="J21" s="212"/>
      <c r="K21" s="212" t="s">
        <v>423</v>
      </c>
      <c r="L21" s="276">
        <f>SUM(L18:L20)</f>
        <v>37</v>
      </c>
    </row>
    <row r="22" spans="10:14" x14ac:dyDescent="0.2">
      <c r="J22" s="275" t="s">
        <v>426</v>
      </c>
      <c r="K22" s="275">
        <v>52</v>
      </c>
      <c r="L22" s="275">
        <v>10</v>
      </c>
    </row>
    <row r="23" spans="10:14" x14ac:dyDescent="0.2">
      <c r="J23" s="212"/>
      <c r="K23" s="212"/>
      <c r="L23" s="212">
        <v>0</v>
      </c>
    </row>
    <row r="24" spans="10:14" x14ac:dyDescent="0.2">
      <c r="J24" s="212"/>
      <c r="K24" s="212"/>
      <c r="L24" s="212">
        <v>59</v>
      </c>
    </row>
    <row r="25" spans="10:14" x14ac:dyDescent="0.2">
      <c r="J25" s="212"/>
      <c r="K25" s="212" t="s">
        <v>423</v>
      </c>
      <c r="L25" s="276">
        <f>SUM(L22:L24)</f>
        <v>69</v>
      </c>
    </row>
    <row r="27" spans="10:14" x14ac:dyDescent="0.2">
      <c r="J27" s="76" t="s">
        <v>427</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63"/>
      <c r="C2" s="461" t="s">
        <v>0</v>
      </c>
      <c r="D2" s="461"/>
      <c r="E2" s="461"/>
      <c r="F2" s="461"/>
      <c r="G2" s="461"/>
      <c r="H2" s="461"/>
      <c r="I2" s="465"/>
      <c r="J2" s="10"/>
      <c r="K2" s="10"/>
      <c r="M2" s="11" t="s">
        <v>67</v>
      </c>
    </row>
    <row r="3" spans="2:14" ht="25.5" customHeight="1" x14ac:dyDescent="0.15">
      <c r="B3" s="464"/>
      <c r="C3" s="462" t="s">
        <v>1</v>
      </c>
      <c r="D3" s="462"/>
      <c r="E3" s="462"/>
      <c r="F3" s="462"/>
      <c r="G3" s="462"/>
      <c r="H3" s="462"/>
      <c r="I3" s="466"/>
      <c r="J3" s="10"/>
      <c r="K3" s="10"/>
      <c r="M3" s="11" t="s">
        <v>68</v>
      </c>
    </row>
    <row r="4" spans="2:14" ht="25.5" customHeight="1" x14ac:dyDescent="0.15">
      <c r="B4" s="464"/>
      <c r="C4" s="462" t="s">
        <v>69</v>
      </c>
      <c r="D4" s="462"/>
      <c r="E4" s="462"/>
      <c r="F4" s="462"/>
      <c r="G4" s="462"/>
      <c r="H4" s="462"/>
      <c r="I4" s="466"/>
      <c r="J4" s="10"/>
      <c r="K4" s="10"/>
      <c r="M4" s="11" t="s">
        <v>70</v>
      </c>
    </row>
    <row r="5" spans="2:14" ht="25.5" customHeight="1" x14ac:dyDescent="0.15">
      <c r="B5" s="464"/>
      <c r="C5" s="462" t="s">
        <v>71</v>
      </c>
      <c r="D5" s="462"/>
      <c r="E5" s="462"/>
      <c r="F5" s="462"/>
      <c r="G5" s="467" t="s">
        <v>72</v>
      </c>
      <c r="H5" s="467"/>
      <c r="I5" s="466"/>
      <c r="J5" s="10"/>
      <c r="K5" s="10"/>
      <c r="M5" s="11" t="s">
        <v>73</v>
      </c>
    </row>
    <row r="6" spans="2:14" ht="23.25" customHeight="1" x14ac:dyDescent="0.15">
      <c r="B6" s="446" t="s">
        <v>74</v>
      </c>
      <c r="C6" s="447"/>
      <c r="D6" s="447"/>
      <c r="E6" s="447"/>
      <c r="F6" s="447"/>
      <c r="G6" s="447"/>
      <c r="H6" s="447"/>
      <c r="I6" s="448"/>
      <c r="J6" s="12"/>
      <c r="K6" s="12"/>
    </row>
    <row r="7" spans="2:14" ht="24" customHeight="1" x14ac:dyDescent="0.15">
      <c r="B7" s="449" t="s">
        <v>75</v>
      </c>
      <c r="C7" s="450"/>
      <c r="D7" s="450"/>
      <c r="E7" s="450"/>
      <c r="F7" s="450"/>
      <c r="G7" s="450"/>
      <c r="H7" s="450"/>
      <c r="I7" s="451"/>
      <c r="J7" s="13"/>
      <c r="K7" s="13"/>
    </row>
    <row r="8" spans="2:14" ht="24" customHeight="1" x14ac:dyDescent="0.15">
      <c r="B8" s="452" t="s">
        <v>76</v>
      </c>
      <c r="C8" s="453"/>
      <c r="D8" s="453"/>
      <c r="E8" s="453"/>
      <c r="F8" s="453"/>
      <c r="G8" s="453"/>
      <c r="H8" s="453"/>
      <c r="I8" s="454"/>
      <c r="J8" s="40"/>
      <c r="K8" s="40"/>
      <c r="N8" s="6" t="s">
        <v>77</v>
      </c>
    </row>
    <row r="9" spans="2:14" ht="30.75" customHeight="1" x14ac:dyDescent="0.15">
      <c r="B9" s="62" t="s">
        <v>78</v>
      </c>
      <c r="C9" s="41">
        <v>231</v>
      </c>
      <c r="D9" s="458" t="s">
        <v>79</v>
      </c>
      <c r="E9" s="458"/>
      <c r="F9" s="409" t="s">
        <v>80</v>
      </c>
      <c r="G9" s="410"/>
      <c r="H9" s="410"/>
      <c r="I9" s="411"/>
      <c r="J9" s="14"/>
      <c r="K9" s="14"/>
      <c r="M9" s="11" t="s">
        <v>81</v>
      </c>
      <c r="N9" s="6" t="s">
        <v>82</v>
      </c>
    </row>
    <row r="10" spans="2:14" ht="30.75" customHeight="1" x14ac:dyDescent="0.15">
      <c r="B10" s="179" t="s">
        <v>83</v>
      </c>
      <c r="C10" s="180" t="s">
        <v>84</v>
      </c>
      <c r="D10" s="459" t="s">
        <v>85</v>
      </c>
      <c r="E10" s="460"/>
      <c r="F10" s="443" t="s">
        <v>86</v>
      </c>
      <c r="G10" s="444"/>
      <c r="H10" s="181" t="s">
        <v>87</v>
      </c>
      <c r="I10" s="182" t="s">
        <v>84</v>
      </c>
      <c r="J10" s="15"/>
      <c r="K10" s="15"/>
      <c r="M10" s="11" t="s">
        <v>88</v>
      </c>
      <c r="N10" s="6" t="s">
        <v>89</v>
      </c>
    </row>
    <row r="11" spans="2:14" ht="30.75" customHeight="1" x14ac:dyDescent="0.15">
      <c r="B11" s="179" t="s">
        <v>90</v>
      </c>
      <c r="C11" s="455" t="s">
        <v>91</v>
      </c>
      <c r="D11" s="455"/>
      <c r="E11" s="455"/>
      <c r="F11" s="455"/>
      <c r="G11" s="181" t="s">
        <v>92</v>
      </c>
      <c r="H11" s="456">
        <v>1032</v>
      </c>
      <c r="I11" s="457"/>
      <c r="J11" s="16"/>
      <c r="K11" s="16"/>
      <c r="M11" s="11" t="s">
        <v>93</v>
      </c>
      <c r="N11" s="6" t="s">
        <v>44</v>
      </c>
    </row>
    <row r="12" spans="2:14" ht="30.75" customHeight="1" x14ac:dyDescent="0.15">
      <c r="B12" s="179" t="s">
        <v>94</v>
      </c>
      <c r="C12" s="440" t="s">
        <v>88</v>
      </c>
      <c r="D12" s="440"/>
      <c r="E12" s="440"/>
      <c r="F12" s="440"/>
      <c r="G12" s="181" t="s">
        <v>95</v>
      </c>
      <c r="H12" s="441" t="s">
        <v>96</v>
      </c>
      <c r="I12" s="442"/>
      <c r="J12" s="17"/>
      <c r="K12" s="17"/>
      <c r="M12" s="18" t="s">
        <v>97</v>
      </c>
    </row>
    <row r="13" spans="2:14" ht="30.75" customHeight="1" x14ac:dyDescent="0.15">
      <c r="B13" s="179" t="s">
        <v>98</v>
      </c>
      <c r="C13" s="436" t="s">
        <v>99</v>
      </c>
      <c r="D13" s="436"/>
      <c r="E13" s="436"/>
      <c r="F13" s="436"/>
      <c r="G13" s="436"/>
      <c r="H13" s="436"/>
      <c r="I13" s="437"/>
      <c r="J13" s="19"/>
      <c r="K13" s="19"/>
      <c r="M13" s="18"/>
    </row>
    <row r="14" spans="2:14" ht="30.75" customHeight="1" x14ac:dyDescent="0.15">
      <c r="B14" s="179" t="s">
        <v>100</v>
      </c>
      <c r="C14" s="443" t="s">
        <v>101</v>
      </c>
      <c r="D14" s="444"/>
      <c r="E14" s="444"/>
      <c r="F14" s="444"/>
      <c r="G14" s="444"/>
      <c r="H14" s="444"/>
      <c r="I14" s="445"/>
      <c r="J14" s="15"/>
      <c r="K14" s="15"/>
      <c r="M14" s="18"/>
      <c r="N14" s="6" t="s">
        <v>102</v>
      </c>
    </row>
    <row r="15" spans="2:14" ht="30.75" customHeight="1" x14ac:dyDescent="0.15">
      <c r="B15" s="179" t="s">
        <v>103</v>
      </c>
      <c r="C15" s="430" t="s">
        <v>104</v>
      </c>
      <c r="D15" s="430"/>
      <c r="E15" s="430"/>
      <c r="F15" s="430"/>
      <c r="G15" s="181" t="s">
        <v>105</v>
      </c>
      <c r="H15" s="432" t="s">
        <v>106</v>
      </c>
      <c r="I15" s="433"/>
      <c r="J15" s="15"/>
      <c r="K15" s="15"/>
      <c r="M15" s="18" t="s">
        <v>107</v>
      </c>
      <c r="N15" s="6" t="s">
        <v>84</v>
      </c>
    </row>
    <row r="16" spans="2:14" ht="30.75" customHeight="1" x14ac:dyDescent="0.15">
      <c r="B16" s="179" t="s">
        <v>108</v>
      </c>
      <c r="C16" s="434" t="s">
        <v>109</v>
      </c>
      <c r="D16" s="435"/>
      <c r="E16" s="435"/>
      <c r="F16" s="435"/>
      <c r="G16" s="181" t="s">
        <v>110</v>
      </c>
      <c r="H16" s="432" t="s">
        <v>44</v>
      </c>
      <c r="I16" s="433"/>
      <c r="J16" s="15"/>
      <c r="K16" s="15"/>
      <c r="M16" s="18" t="s">
        <v>111</v>
      </c>
    </row>
    <row r="17" spans="2:14" ht="36" customHeight="1" x14ac:dyDescent="0.15">
      <c r="B17" s="179" t="s">
        <v>112</v>
      </c>
      <c r="C17" s="436" t="s">
        <v>113</v>
      </c>
      <c r="D17" s="436"/>
      <c r="E17" s="436"/>
      <c r="F17" s="436"/>
      <c r="G17" s="436"/>
      <c r="H17" s="436"/>
      <c r="I17" s="437"/>
      <c r="J17" s="19"/>
      <c r="K17" s="19"/>
      <c r="M17" s="18" t="s">
        <v>114</v>
      </c>
      <c r="N17" s="6" t="s">
        <v>115</v>
      </c>
    </row>
    <row r="18" spans="2:14" ht="30.75" customHeight="1" x14ac:dyDescent="0.15">
      <c r="B18" s="179" t="s">
        <v>116</v>
      </c>
      <c r="C18" s="430" t="s">
        <v>117</v>
      </c>
      <c r="D18" s="430"/>
      <c r="E18" s="430"/>
      <c r="F18" s="430"/>
      <c r="G18" s="430"/>
      <c r="H18" s="430"/>
      <c r="I18" s="431"/>
      <c r="J18" s="20"/>
      <c r="K18" s="20"/>
      <c r="M18" s="18" t="s">
        <v>118</v>
      </c>
      <c r="N18" s="6" t="s">
        <v>119</v>
      </c>
    </row>
    <row r="19" spans="2:14" ht="30.75" customHeight="1" x14ac:dyDescent="0.15">
      <c r="B19" s="179" t="s">
        <v>120</v>
      </c>
      <c r="C19" s="430" t="s">
        <v>121</v>
      </c>
      <c r="D19" s="430"/>
      <c r="E19" s="430"/>
      <c r="F19" s="430"/>
      <c r="G19" s="430"/>
      <c r="H19" s="430"/>
      <c r="I19" s="431"/>
      <c r="J19" s="21"/>
      <c r="K19" s="21"/>
      <c r="M19" s="18"/>
      <c r="N19" s="6" t="s">
        <v>122</v>
      </c>
    </row>
    <row r="20" spans="2:14" ht="30.75" customHeight="1" x14ac:dyDescent="0.15">
      <c r="B20" s="179" t="s">
        <v>123</v>
      </c>
      <c r="C20" s="438" t="s">
        <v>56</v>
      </c>
      <c r="D20" s="438"/>
      <c r="E20" s="438"/>
      <c r="F20" s="438"/>
      <c r="G20" s="438"/>
      <c r="H20" s="438"/>
      <c r="I20" s="439"/>
      <c r="J20" s="22"/>
      <c r="K20" s="22"/>
      <c r="M20" s="18" t="s">
        <v>106</v>
      </c>
      <c r="N20" s="6" t="s">
        <v>124</v>
      </c>
    </row>
    <row r="21" spans="2:14" ht="27.75" customHeight="1" x14ac:dyDescent="0.15">
      <c r="B21" s="425" t="s">
        <v>125</v>
      </c>
      <c r="C21" s="427" t="s">
        <v>126</v>
      </c>
      <c r="D21" s="427"/>
      <c r="E21" s="427"/>
      <c r="F21" s="428" t="s">
        <v>127</v>
      </c>
      <c r="G21" s="428"/>
      <c r="H21" s="428"/>
      <c r="I21" s="429"/>
      <c r="J21" s="23"/>
      <c r="K21" s="23"/>
      <c r="M21" s="18" t="s">
        <v>128</v>
      </c>
      <c r="N21" s="6" t="s">
        <v>129</v>
      </c>
    </row>
    <row r="22" spans="2:14" ht="27" customHeight="1" x14ac:dyDescent="0.15">
      <c r="B22" s="426"/>
      <c r="C22" s="430" t="s">
        <v>130</v>
      </c>
      <c r="D22" s="430"/>
      <c r="E22" s="430"/>
      <c r="F22" s="430" t="s">
        <v>131</v>
      </c>
      <c r="G22" s="430"/>
      <c r="H22" s="430"/>
      <c r="I22" s="431"/>
      <c r="J22" s="21"/>
      <c r="K22" s="21"/>
      <c r="M22" s="18" t="s">
        <v>132</v>
      </c>
      <c r="N22" s="6" t="s">
        <v>133</v>
      </c>
    </row>
    <row r="23" spans="2:14" ht="39.75" customHeight="1" x14ac:dyDescent="0.15">
      <c r="B23" s="179" t="s">
        <v>134</v>
      </c>
      <c r="C23" s="432" t="s">
        <v>56</v>
      </c>
      <c r="D23" s="432"/>
      <c r="E23" s="432"/>
      <c r="F23" s="432" t="s">
        <v>56</v>
      </c>
      <c r="G23" s="432"/>
      <c r="H23" s="432"/>
      <c r="I23" s="433"/>
      <c r="J23" s="15"/>
      <c r="K23" s="15"/>
      <c r="M23" s="18"/>
      <c r="N23" s="6" t="s">
        <v>99</v>
      </c>
    </row>
    <row r="24" spans="2:14" ht="44.25" customHeight="1" x14ac:dyDescent="0.15">
      <c r="B24" s="179" t="s">
        <v>135</v>
      </c>
      <c r="C24" s="406" t="s">
        <v>136</v>
      </c>
      <c r="D24" s="407"/>
      <c r="E24" s="408"/>
      <c r="F24" s="409" t="s">
        <v>137</v>
      </c>
      <c r="G24" s="410"/>
      <c r="H24" s="410"/>
      <c r="I24" s="411"/>
      <c r="J24" s="20"/>
      <c r="K24" s="20"/>
      <c r="M24" s="24"/>
      <c r="N24" s="6" t="s">
        <v>138</v>
      </c>
    </row>
    <row r="25" spans="2:14" ht="29.25" customHeight="1" x14ac:dyDescent="0.15">
      <c r="B25" s="179" t="s">
        <v>139</v>
      </c>
      <c r="C25" s="412" t="s">
        <v>109</v>
      </c>
      <c r="D25" s="413"/>
      <c r="E25" s="414"/>
      <c r="F25" s="181" t="s">
        <v>140</v>
      </c>
      <c r="G25" s="415">
        <v>0.3</v>
      </c>
      <c r="H25" s="416"/>
      <c r="I25" s="417"/>
      <c r="J25" s="25"/>
      <c r="K25" s="25"/>
      <c r="M25" s="24"/>
    </row>
    <row r="26" spans="2:14" ht="27" customHeight="1" x14ac:dyDescent="0.15">
      <c r="B26" s="179" t="s">
        <v>141</v>
      </c>
      <c r="C26" s="409" t="s">
        <v>142</v>
      </c>
      <c r="D26" s="410"/>
      <c r="E26" s="418"/>
      <c r="F26" s="181" t="s">
        <v>143</v>
      </c>
      <c r="G26" s="419">
        <v>0.3</v>
      </c>
      <c r="H26" s="420"/>
      <c r="I26" s="421"/>
      <c r="J26" s="26"/>
      <c r="K26" s="26"/>
      <c r="M26" s="24"/>
    </row>
    <row r="27" spans="2:14" ht="47.25" customHeight="1" x14ac:dyDescent="0.15">
      <c r="B27" s="183" t="s">
        <v>144</v>
      </c>
      <c r="C27" s="422" t="s">
        <v>114</v>
      </c>
      <c r="D27" s="423"/>
      <c r="E27" s="424"/>
      <c r="F27" s="184" t="s">
        <v>145</v>
      </c>
      <c r="G27" s="419" t="s">
        <v>146</v>
      </c>
      <c r="H27" s="420"/>
      <c r="I27" s="421"/>
      <c r="J27" s="23"/>
      <c r="K27" s="23"/>
      <c r="M27" s="24"/>
    </row>
    <row r="28" spans="2:14" ht="30" customHeight="1" x14ac:dyDescent="0.15">
      <c r="B28" s="389" t="s">
        <v>147</v>
      </c>
      <c r="C28" s="390"/>
      <c r="D28" s="390"/>
      <c r="E28" s="390"/>
      <c r="F28" s="390"/>
      <c r="G28" s="390"/>
      <c r="H28" s="390"/>
      <c r="I28" s="391"/>
      <c r="J28" s="40"/>
      <c r="K28" s="40"/>
      <c r="M28" s="24"/>
    </row>
    <row r="29" spans="2:14" ht="56.25" customHeight="1" x14ac:dyDescent="0.15">
      <c r="B29" s="185" t="s">
        <v>148</v>
      </c>
      <c r="C29" s="186" t="s">
        <v>149</v>
      </c>
      <c r="D29" s="186" t="s">
        <v>150</v>
      </c>
      <c r="E29" s="186" t="s">
        <v>151</v>
      </c>
      <c r="F29" s="186" t="s">
        <v>152</v>
      </c>
      <c r="G29" s="187" t="s">
        <v>153</v>
      </c>
      <c r="H29" s="187" t="s">
        <v>154</v>
      </c>
      <c r="I29" s="188" t="s">
        <v>155</v>
      </c>
      <c r="J29" s="51" t="s">
        <v>156</v>
      </c>
      <c r="K29" s="21"/>
      <c r="M29" s="24"/>
    </row>
    <row r="30" spans="2:14" ht="19.5" customHeight="1" x14ac:dyDescent="0.15">
      <c r="B30" s="189" t="s">
        <v>157</v>
      </c>
      <c r="C30" s="190">
        <v>0</v>
      </c>
      <c r="D30" s="191">
        <f>+C30</f>
        <v>0</v>
      </c>
      <c r="E30" s="192">
        <v>0</v>
      </c>
      <c r="F30" s="193">
        <f>+E30</f>
        <v>0</v>
      </c>
      <c r="G30" s="194" t="e">
        <f>+C30/E30</f>
        <v>#DIV/0!</v>
      </c>
      <c r="H30" s="195" t="e">
        <f>+D30/F30</f>
        <v>#DIV/0!</v>
      </c>
      <c r="I30" s="196">
        <f>+D30/$G$26</f>
        <v>0</v>
      </c>
      <c r="J30" s="50">
        <v>0.99</v>
      </c>
      <c r="K30" s="27"/>
      <c r="M30" s="24"/>
    </row>
    <row r="31" spans="2:14" ht="19.5" customHeight="1" x14ac:dyDescent="0.15">
      <c r="B31" s="189" t="s">
        <v>158</v>
      </c>
      <c r="C31" s="190">
        <v>0</v>
      </c>
      <c r="D31" s="191">
        <f>+D30+C31</f>
        <v>0</v>
      </c>
      <c r="E31" s="192">
        <v>0</v>
      </c>
      <c r="F31" s="193">
        <f>+F30+E31</f>
        <v>0</v>
      </c>
      <c r="G31" s="194" t="e">
        <f t="shared" ref="G31:H40" si="0">+C31/E31</f>
        <v>#DIV/0!</v>
      </c>
      <c r="H31" s="195" t="e">
        <f t="shared" si="0"/>
        <v>#DIV/0!</v>
      </c>
      <c r="I31" s="196">
        <f t="shared" ref="I31:I41" si="1">+D31/$G$26</f>
        <v>0</v>
      </c>
      <c r="J31" s="50">
        <v>0.99</v>
      </c>
      <c r="K31" s="27"/>
      <c r="M31" s="24"/>
    </row>
    <row r="32" spans="2:14" ht="19.5" customHeight="1" x14ac:dyDescent="0.15">
      <c r="B32" s="189" t="s">
        <v>159</v>
      </c>
      <c r="C32" s="190">
        <v>0</v>
      </c>
      <c r="D32" s="191">
        <f t="shared" ref="D32:D40" si="2">+D31+C32</f>
        <v>0</v>
      </c>
      <c r="E32" s="192">
        <v>0.19</v>
      </c>
      <c r="F32" s="193">
        <f t="shared" ref="F32:F41" si="3">+F31+E32</f>
        <v>0.19</v>
      </c>
      <c r="G32" s="194">
        <f t="shared" si="0"/>
        <v>0</v>
      </c>
      <c r="H32" s="195">
        <f t="shared" si="0"/>
        <v>0</v>
      </c>
      <c r="I32" s="196">
        <f t="shared" si="1"/>
        <v>0</v>
      </c>
      <c r="J32" s="50">
        <v>0.99</v>
      </c>
      <c r="K32" s="27"/>
      <c r="M32" s="24"/>
    </row>
    <row r="33" spans="2:11" ht="19.5" customHeight="1" x14ac:dyDescent="0.15">
      <c r="B33" s="189" t="s">
        <v>160</v>
      </c>
      <c r="C33" s="190">
        <v>0</v>
      </c>
      <c r="D33" s="191">
        <f t="shared" si="2"/>
        <v>0</v>
      </c>
      <c r="E33" s="192">
        <v>0</v>
      </c>
      <c r="F33" s="193">
        <f t="shared" si="3"/>
        <v>0.19</v>
      </c>
      <c r="G33" s="194" t="e">
        <f t="shared" si="0"/>
        <v>#DIV/0!</v>
      </c>
      <c r="H33" s="195">
        <f t="shared" si="0"/>
        <v>0</v>
      </c>
      <c r="I33" s="196">
        <f t="shared" si="1"/>
        <v>0</v>
      </c>
      <c r="J33" s="50">
        <v>0.99</v>
      </c>
      <c r="K33" s="27"/>
    </row>
    <row r="34" spans="2:11" ht="19.5" customHeight="1" x14ac:dyDescent="0.15">
      <c r="B34" s="189" t="s">
        <v>161</v>
      </c>
      <c r="C34" s="190">
        <v>0</v>
      </c>
      <c r="D34" s="191">
        <f t="shared" si="2"/>
        <v>0</v>
      </c>
      <c r="E34" s="192">
        <v>0</v>
      </c>
      <c r="F34" s="193">
        <f t="shared" si="3"/>
        <v>0.19</v>
      </c>
      <c r="G34" s="194" t="e">
        <f t="shared" si="0"/>
        <v>#DIV/0!</v>
      </c>
      <c r="H34" s="195">
        <f t="shared" si="0"/>
        <v>0</v>
      </c>
      <c r="I34" s="196">
        <f t="shared" si="1"/>
        <v>0</v>
      </c>
      <c r="J34" s="50">
        <v>0.99</v>
      </c>
      <c r="K34" s="27"/>
    </row>
    <row r="35" spans="2:11" ht="19.5" customHeight="1" x14ac:dyDescent="0.15">
      <c r="B35" s="189" t="s">
        <v>162</v>
      </c>
      <c r="C35" s="190">
        <v>0</v>
      </c>
      <c r="D35" s="191">
        <f t="shared" si="2"/>
        <v>0</v>
      </c>
      <c r="E35" s="192">
        <v>0</v>
      </c>
      <c r="F35" s="193">
        <f t="shared" si="3"/>
        <v>0.19</v>
      </c>
      <c r="G35" s="194" t="e">
        <f t="shared" si="0"/>
        <v>#DIV/0!</v>
      </c>
      <c r="H35" s="195">
        <f t="shared" si="0"/>
        <v>0</v>
      </c>
      <c r="I35" s="196">
        <f t="shared" si="1"/>
        <v>0</v>
      </c>
      <c r="J35" s="50">
        <v>0.99</v>
      </c>
      <c r="K35" s="27"/>
    </row>
    <row r="36" spans="2:11" ht="19.5" customHeight="1" x14ac:dyDescent="0.15">
      <c r="B36" s="189" t="s">
        <v>163</v>
      </c>
      <c r="C36" s="190">
        <v>0</v>
      </c>
      <c r="D36" s="191">
        <f t="shared" si="2"/>
        <v>0</v>
      </c>
      <c r="E36" s="192">
        <v>0</v>
      </c>
      <c r="F36" s="193">
        <f t="shared" si="3"/>
        <v>0.19</v>
      </c>
      <c r="G36" s="194" t="e">
        <f t="shared" si="0"/>
        <v>#DIV/0!</v>
      </c>
      <c r="H36" s="195">
        <f t="shared" si="0"/>
        <v>0</v>
      </c>
      <c r="I36" s="196">
        <f t="shared" si="1"/>
        <v>0</v>
      </c>
      <c r="J36" s="50">
        <v>0.99</v>
      </c>
      <c r="K36" s="27"/>
    </row>
    <row r="37" spans="2:11" ht="19.5" customHeight="1" x14ac:dyDescent="0.15">
      <c r="B37" s="189" t="s">
        <v>164</v>
      </c>
      <c r="C37" s="190">
        <v>0</v>
      </c>
      <c r="D37" s="191">
        <f t="shared" si="2"/>
        <v>0</v>
      </c>
      <c r="E37" s="192">
        <v>0</v>
      </c>
      <c r="F37" s="193">
        <f t="shared" si="3"/>
        <v>0.19</v>
      </c>
      <c r="G37" s="194" t="e">
        <f t="shared" si="0"/>
        <v>#DIV/0!</v>
      </c>
      <c r="H37" s="195">
        <f t="shared" si="0"/>
        <v>0</v>
      </c>
      <c r="I37" s="196">
        <f t="shared" si="1"/>
        <v>0</v>
      </c>
      <c r="J37" s="50">
        <v>0.99</v>
      </c>
      <c r="K37" s="27"/>
    </row>
    <row r="38" spans="2:11" ht="19.5" customHeight="1" x14ac:dyDescent="0.15">
      <c r="B38" s="189" t="s">
        <v>165</v>
      </c>
      <c r="C38" s="190">
        <v>0</v>
      </c>
      <c r="D38" s="191">
        <f t="shared" si="2"/>
        <v>0</v>
      </c>
      <c r="E38" s="192">
        <v>0.02</v>
      </c>
      <c r="F38" s="193">
        <f t="shared" si="3"/>
        <v>0.21</v>
      </c>
      <c r="G38" s="194">
        <f t="shared" si="0"/>
        <v>0</v>
      </c>
      <c r="H38" s="195">
        <f t="shared" si="0"/>
        <v>0</v>
      </c>
      <c r="I38" s="196">
        <f t="shared" si="1"/>
        <v>0</v>
      </c>
      <c r="J38" s="50">
        <v>0.99</v>
      </c>
      <c r="K38" s="27"/>
    </row>
    <row r="39" spans="2:11" ht="19.5" customHeight="1" x14ac:dyDescent="0.15">
      <c r="B39" s="189" t="s">
        <v>166</v>
      </c>
      <c r="C39" s="190">
        <v>0</v>
      </c>
      <c r="D39" s="191">
        <f t="shared" si="2"/>
        <v>0</v>
      </c>
      <c r="E39" s="192">
        <v>0</v>
      </c>
      <c r="F39" s="193">
        <f t="shared" si="3"/>
        <v>0.21</v>
      </c>
      <c r="G39" s="194" t="e">
        <f t="shared" si="0"/>
        <v>#DIV/0!</v>
      </c>
      <c r="H39" s="195">
        <f t="shared" si="0"/>
        <v>0</v>
      </c>
      <c r="I39" s="196">
        <f t="shared" si="1"/>
        <v>0</v>
      </c>
      <c r="J39" s="50">
        <v>0.99</v>
      </c>
      <c r="K39" s="27"/>
    </row>
    <row r="40" spans="2:11" ht="19.5" customHeight="1" x14ac:dyDescent="0.15">
      <c r="B40" s="189" t="s">
        <v>167</v>
      </c>
      <c r="C40" s="190">
        <v>0</v>
      </c>
      <c r="D40" s="191">
        <f t="shared" si="2"/>
        <v>0</v>
      </c>
      <c r="E40" s="192">
        <v>0</v>
      </c>
      <c r="F40" s="193">
        <f t="shared" si="3"/>
        <v>0.21</v>
      </c>
      <c r="G40" s="194" t="e">
        <f t="shared" si="0"/>
        <v>#DIV/0!</v>
      </c>
      <c r="H40" s="195">
        <f t="shared" si="0"/>
        <v>0</v>
      </c>
      <c r="I40" s="196">
        <f t="shared" si="1"/>
        <v>0</v>
      </c>
      <c r="J40" s="50">
        <v>0.99</v>
      </c>
      <c r="K40" s="27"/>
    </row>
    <row r="41" spans="2:11" ht="19.5" customHeight="1" x14ac:dyDescent="0.15">
      <c r="B41" s="189" t="s">
        <v>168</v>
      </c>
      <c r="C41" s="190">
        <v>0</v>
      </c>
      <c r="D41" s="191">
        <f>+D40+C41</f>
        <v>0</v>
      </c>
      <c r="E41" s="192">
        <v>0.04</v>
      </c>
      <c r="F41" s="193">
        <f t="shared" si="3"/>
        <v>0.25</v>
      </c>
      <c r="G41" s="194">
        <f>+C41/E41</f>
        <v>0</v>
      </c>
      <c r="H41" s="195">
        <f>+D41/F41</f>
        <v>0</v>
      </c>
      <c r="I41" s="196">
        <f t="shared" si="1"/>
        <v>0</v>
      </c>
      <c r="J41" s="50">
        <v>0.99</v>
      </c>
      <c r="K41" s="27"/>
    </row>
    <row r="42" spans="2:11" ht="54.75" customHeight="1" x14ac:dyDescent="0.15">
      <c r="B42" s="197" t="s">
        <v>169</v>
      </c>
      <c r="C42" s="383" t="s">
        <v>57</v>
      </c>
      <c r="D42" s="383"/>
      <c r="E42" s="383"/>
      <c r="F42" s="383"/>
      <c r="G42" s="383"/>
      <c r="H42" s="383"/>
      <c r="I42" s="384"/>
      <c r="J42" s="28"/>
      <c r="K42" s="28"/>
    </row>
    <row r="43" spans="2:11" ht="29.25" customHeight="1" x14ac:dyDescent="0.15">
      <c r="B43" s="389" t="s">
        <v>170</v>
      </c>
      <c r="C43" s="390"/>
      <c r="D43" s="390"/>
      <c r="E43" s="390"/>
      <c r="F43" s="390"/>
      <c r="G43" s="390"/>
      <c r="H43" s="390"/>
      <c r="I43" s="391"/>
      <c r="J43" s="40"/>
      <c r="K43" s="40"/>
    </row>
    <row r="44" spans="2:11" ht="32.25" customHeight="1" x14ac:dyDescent="0.15">
      <c r="B44" s="397"/>
      <c r="C44" s="398"/>
      <c r="D44" s="398"/>
      <c r="E44" s="398"/>
      <c r="F44" s="398"/>
      <c r="G44" s="398"/>
      <c r="H44" s="398"/>
      <c r="I44" s="399"/>
      <c r="J44" s="40"/>
      <c r="K44" s="40"/>
    </row>
    <row r="45" spans="2:11" ht="32.25" customHeight="1" x14ac:dyDescent="0.15">
      <c r="B45" s="400"/>
      <c r="C45" s="401"/>
      <c r="D45" s="401"/>
      <c r="E45" s="401"/>
      <c r="F45" s="401"/>
      <c r="G45" s="401"/>
      <c r="H45" s="401"/>
      <c r="I45" s="402"/>
      <c r="J45" s="28"/>
      <c r="K45" s="28"/>
    </row>
    <row r="46" spans="2:11" ht="32.25" customHeight="1" x14ac:dyDescent="0.15">
      <c r="B46" s="400"/>
      <c r="C46" s="401"/>
      <c r="D46" s="401"/>
      <c r="E46" s="401"/>
      <c r="F46" s="401"/>
      <c r="G46" s="401"/>
      <c r="H46" s="401"/>
      <c r="I46" s="402"/>
      <c r="J46" s="28"/>
      <c r="K46" s="28"/>
    </row>
    <row r="47" spans="2:11" ht="32.25" customHeight="1" x14ac:dyDescent="0.15">
      <c r="B47" s="400"/>
      <c r="C47" s="401"/>
      <c r="D47" s="401"/>
      <c r="E47" s="401"/>
      <c r="F47" s="401"/>
      <c r="G47" s="401"/>
      <c r="H47" s="401"/>
      <c r="I47" s="402"/>
      <c r="J47" s="28"/>
      <c r="K47" s="28"/>
    </row>
    <row r="48" spans="2:11" ht="32.25" customHeight="1" x14ac:dyDescent="0.15">
      <c r="B48" s="403"/>
      <c r="C48" s="404"/>
      <c r="D48" s="404"/>
      <c r="E48" s="404"/>
      <c r="F48" s="404"/>
      <c r="G48" s="404"/>
      <c r="H48" s="404"/>
      <c r="I48" s="405"/>
      <c r="J48" s="12"/>
      <c r="K48" s="12"/>
    </row>
    <row r="49" spans="2:11" ht="83.25" customHeight="1" x14ac:dyDescent="0.15">
      <c r="B49" s="179" t="s">
        <v>171</v>
      </c>
      <c r="C49" s="383" t="s">
        <v>57</v>
      </c>
      <c r="D49" s="383"/>
      <c r="E49" s="383"/>
      <c r="F49" s="383"/>
      <c r="G49" s="383"/>
      <c r="H49" s="383"/>
      <c r="I49" s="384"/>
      <c r="J49" s="29"/>
      <c r="K49" s="29"/>
    </row>
    <row r="50" spans="2:11" ht="34.5" customHeight="1" x14ac:dyDescent="0.15">
      <c r="B50" s="179" t="s">
        <v>172</v>
      </c>
      <c r="C50" s="367" t="s">
        <v>146</v>
      </c>
      <c r="D50" s="367"/>
      <c r="E50" s="367"/>
      <c r="F50" s="367"/>
      <c r="G50" s="367"/>
      <c r="H50" s="367"/>
      <c r="I50" s="385"/>
      <c r="J50" s="29"/>
      <c r="K50" s="29"/>
    </row>
    <row r="51" spans="2:11" ht="34.5" customHeight="1" x14ac:dyDescent="0.15">
      <c r="B51" s="198" t="s">
        <v>173</v>
      </c>
      <c r="C51" s="386" t="s">
        <v>58</v>
      </c>
      <c r="D51" s="387"/>
      <c r="E51" s="387"/>
      <c r="F51" s="387"/>
      <c r="G51" s="387"/>
      <c r="H51" s="387"/>
      <c r="I51" s="388"/>
      <c r="J51" s="29"/>
      <c r="K51" s="29"/>
    </row>
    <row r="52" spans="2:11" ht="29.25" customHeight="1" x14ac:dyDescent="0.15">
      <c r="B52" s="389" t="s">
        <v>174</v>
      </c>
      <c r="C52" s="390"/>
      <c r="D52" s="390"/>
      <c r="E52" s="390"/>
      <c r="F52" s="390"/>
      <c r="G52" s="390"/>
      <c r="H52" s="390"/>
      <c r="I52" s="391"/>
      <c r="J52" s="29"/>
      <c r="K52" s="29"/>
    </row>
    <row r="53" spans="2:11" ht="33" customHeight="1" x14ac:dyDescent="0.15">
      <c r="B53" s="392" t="s">
        <v>175</v>
      </c>
      <c r="C53" s="199" t="s">
        <v>176</v>
      </c>
      <c r="D53" s="393" t="s">
        <v>177</v>
      </c>
      <c r="E53" s="393"/>
      <c r="F53" s="393"/>
      <c r="G53" s="393" t="s">
        <v>178</v>
      </c>
      <c r="H53" s="393"/>
      <c r="I53" s="394"/>
      <c r="J53" s="30"/>
      <c r="K53" s="30"/>
    </row>
    <row r="54" spans="2:11" ht="31.5" customHeight="1" x14ac:dyDescent="0.15">
      <c r="B54" s="392"/>
      <c r="C54" s="200"/>
      <c r="D54" s="367"/>
      <c r="E54" s="367"/>
      <c r="F54" s="367"/>
      <c r="G54" s="395"/>
      <c r="H54" s="395"/>
      <c r="I54" s="396"/>
      <c r="J54" s="30"/>
      <c r="K54" s="30"/>
    </row>
    <row r="55" spans="2:11" ht="31.5" customHeight="1" x14ac:dyDescent="0.15">
      <c r="B55" s="198" t="s">
        <v>179</v>
      </c>
      <c r="C55" s="379" t="s">
        <v>180</v>
      </c>
      <c r="D55" s="379"/>
      <c r="E55" s="380" t="s">
        <v>181</v>
      </c>
      <c r="F55" s="380"/>
      <c r="G55" s="379" t="s">
        <v>182</v>
      </c>
      <c r="H55" s="379"/>
      <c r="I55" s="381"/>
      <c r="J55" s="31"/>
      <c r="K55" s="31"/>
    </row>
    <row r="56" spans="2:11" ht="31.5" customHeight="1" x14ac:dyDescent="0.15">
      <c r="B56" s="198" t="s">
        <v>183</v>
      </c>
      <c r="C56" s="367" t="s">
        <v>184</v>
      </c>
      <c r="D56" s="367"/>
      <c r="E56" s="382" t="s">
        <v>185</v>
      </c>
      <c r="F56" s="382"/>
      <c r="G56" s="379" t="s">
        <v>186</v>
      </c>
      <c r="H56" s="379"/>
      <c r="I56" s="381"/>
      <c r="J56" s="31"/>
      <c r="K56" s="31"/>
    </row>
    <row r="57" spans="2:11" ht="31.5" customHeight="1" x14ac:dyDescent="0.15">
      <c r="B57" s="198" t="s">
        <v>187</v>
      </c>
      <c r="C57" s="367"/>
      <c r="D57" s="367"/>
      <c r="E57" s="368" t="s">
        <v>188</v>
      </c>
      <c r="F57" s="369"/>
      <c r="G57" s="372"/>
      <c r="H57" s="373"/>
      <c r="I57" s="374"/>
      <c r="J57" s="32"/>
      <c r="K57" s="32"/>
    </row>
    <row r="58" spans="2:11" ht="31.5" customHeight="1" thickBot="1" x14ac:dyDescent="0.2">
      <c r="B58" s="201" t="s">
        <v>189</v>
      </c>
      <c r="C58" s="378"/>
      <c r="D58" s="378"/>
      <c r="E58" s="370"/>
      <c r="F58" s="371"/>
      <c r="G58" s="375"/>
      <c r="H58" s="376"/>
      <c r="I58" s="377"/>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84"/>
      <c r="C1" s="487" t="s">
        <v>0</v>
      </c>
      <c r="D1" s="488"/>
      <c r="E1" s="488"/>
      <c r="F1" s="488"/>
      <c r="G1" s="488"/>
      <c r="H1" s="489"/>
      <c r="I1" s="490"/>
      <c r="J1" s="491"/>
    </row>
    <row r="2" spans="2:13" ht="18" customHeight="1" thickBot="1" x14ac:dyDescent="0.25">
      <c r="B2" s="485"/>
      <c r="C2" s="487" t="s">
        <v>1</v>
      </c>
      <c r="D2" s="488"/>
      <c r="E2" s="488"/>
      <c r="F2" s="488"/>
      <c r="G2" s="488"/>
      <c r="H2" s="489"/>
      <c r="I2" s="492"/>
      <c r="J2" s="493"/>
    </row>
    <row r="3" spans="2:13" ht="18" customHeight="1" thickBot="1" x14ac:dyDescent="0.25">
      <c r="B3" s="485"/>
      <c r="C3" s="487" t="s">
        <v>190</v>
      </c>
      <c r="D3" s="488"/>
      <c r="E3" s="488"/>
      <c r="F3" s="488"/>
      <c r="G3" s="488"/>
      <c r="H3" s="489"/>
      <c r="I3" s="492"/>
      <c r="J3" s="493"/>
    </row>
    <row r="4" spans="2:13" ht="18" customHeight="1" thickBot="1" x14ac:dyDescent="0.25">
      <c r="B4" s="486"/>
      <c r="C4" s="487" t="s">
        <v>191</v>
      </c>
      <c r="D4" s="488"/>
      <c r="E4" s="488"/>
      <c r="F4" s="489"/>
      <c r="G4" s="496" t="s">
        <v>192</v>
      </c>
      <c r="H4" s="497"/>
      <c r="I4" s="494"/>
      <c r="J4" s="495"/>
    </row>
    <row r="5" spans="2:13" ht="18" customHeight="1" thickBot="1" x14ac:dyDescent="0.25">
      <c r="B5" s="35"/>
      <c r="C5" s="10"/>
      <c r="D5" s="10"/>
      <c r="E5" s="10"/>
      <c r="F5" s="10"/>
      <c r="G5" s="10"/>
      <c r="H5" s="10"/>
      <c r="I5" s="10"/>
      <c r="J5" s="36"/>
    </row>
    <row r="6" spans="2:13" ht="51.75" customHeight="1" thickBot="1" x14ac:dyDescent="0.25">
      <c r="B6" s="1" t="s">
        <v>193</v>
      </c>
      <c r="C6" s="498" t="s">
        <v>39</v>
      </c>
      <c r="D6" s="499"/>
      <c r="E6" s="500"/>
      <c r="F6" s="37"/>
      <c r="G6" s="10"/>
      <c r="H6" s="10"/>
      <c r="I6" s="10"/>
      <c r="J6" s="36"/>
    </row>
    <row r="7" spans="2:13" ht="32.25" customHeight="1" thickBot="1" x14ac:dyDescent="0.25">
      <c r="B7" s="2" t="s">
        <v>194</v>
      </c>
      <c r="C7" s="498" t="s">
        <v>86</v>
      </c>
      <c r="D7" s="499"/>
      <c r="E7" s="500"/>
      <c r="F7" s="37"/>
      <c r="G7" s="10"/>
      <c r="H7" s="10"/>
      <c r="I7" s="10"/>
      <c r="J7" s="36"/>
    </row>
    <row r="8" spans="2:13" ht="32.25" customHeight="1" thickBot="1" x14ac:dyDescent="0.25">
      <c r="B8" s="2" t="s">
        <v>195</v>
      </c>
      <c r="C8" s="498" t="s">
        <v>196</v>
      </c>
      <c r="D8" s="499"/>
      <c r="E8" s="500"/>
      <c r="F8" s="4"/>
      <c r="G8" s="10"/>
      <c r="H8" s="10"/>
      <c r="I8" s="10"/>
      <c r="J8" s="36"/>
    </row>
    <row r="9" spans="2:13" ht="33.75" customHeight="1" thickBot="1" x14ac:dyDescent="0.25">
      <c r="B9" s="2" t="s">
        <v>197</v>
      </c>
      <c r="C9" s="498" t="s">
        <v>186</v>
      </c>
      <c r="D9" s="499"/>
      <c r="E9" s="500"/>
      <c r="F9" s="37"/>
      <c r="G9" s="10"/>
      <c r="H9" s="10"/>
      <c r="I9" s="10"/>
      <c r="J9" s="36"/>
    </row>
    <row r="10" spans="2:13" ht="32.25" customHeight="1" thickBot="1" x14ac:dyDescent="0.25">
      <c r="B10" s="2" t="s">
        <v>198</v>
      </c>
      <c r="C10" s="498" t="s">
        <v>101</v>
      </c>
      <c r="D10" s="499"/>
      <c r="E10" s="500"/>
    </row>
    <row r="12" spans="2:13" x14ac:dyDescent="0.2">
      <c r="B12" s="477" t="s">
        <v>199</v>
      </c>
      <c r="C12" s="478"/>
      <c r="D12" s="478"/>
      <c r="E12" s="478"/>
      <c r="F12" s="478"/>
      <c r="G12" s="478"/>
      <c r="H12" s="479"/>
      <c r="I12" s="469" t="s">
        <v>200</v>
      </c>
      <c r="J12" s="470"/>
      <c r="K12" s="470"/>
    </row>
    <row r="13" spans="2:13" s="39" customFormat="1" ht="30" customHeight="1" x14ac:dyDescent="0.2">
      <c r="B13" s="471" t="s">
        <v>201</v>
      </c>
      <c r="C13" s="471" t="s">
        <v>202</v>
      </c>
      <c r="D13" s="471" t="s">
        <v>203</v>
      </c>
      <c r="E13" s="471" t="s">
        <v>204</v>
      </c>
      <c r="F13" s="471" t="s">
        <v>205</v>
      </c>
      <c r="G13" s="471" t="s">
        <v>206</v>
      </c>
      <c r="H13" s="471" t="s">
        <v>207</v>
      </c>
      <c r="I13" s="473" t="s">
        <v>208</v>
      </c>
      <c r="J13" s="475" t="s">
        <v>209</v>
      </c>
      <c r="K13" s="468" t="s">
        <v>210</v>
      </c>
    </row>
    <row r="14" spans="2:13" s="39" customFormat="1" x14ac:dyDescent="0.2">
      <c r="B14" s="472"/>
      <c r="C14" s="472"/>
      <c r="D14" s="472"/>
      <c r="E14" s="472"/>
      <c r="F14" s="472"/>
      <c r="G14" s="472"/>
      <c r="H14" s="472"/>
      <c r="I14" s="474"/>
      <c r="J14" s="476"/>
      <c r="K14" s="468"/>
    </row>
    <row r="15" spans="2:13" s="39" customFormat="1" ht="96" x14ac:dyDescent="0.2">
      <c r="B15" s="61">
        <v>1</v>
      </c>
      <c r="C15" s="202" t="s">
        <v>211</v>
      </c>
      <c r="D15" s="203">
        <v>0.19</v>
      </c>
      <c r="E15" s="204"/>
      <c r="F15" s="205" t="s">
        <v>212</v>
      </c>
      <c r="G15" s="206">
        <v>0.19</v>
      </c>
      <c r="H15" s="207">
        <v>43160</v>
      </c>
      <c r="I15" s="208">
        <v>0.19</v>
      </c>
      <c r="J15" s="209">
        <v>43132</v>
      </c>
      <c r="K15" s="210"/>
      <c r="M15" s="65"/>
    </row>
    <row r="16" spans="2:13" ht="64" x14ac:dyDescent="0.2">
      <c r="B16" s="211">
        <v>2</v>
      </c>
      <c r="C16" s="212" t="s">
        <v>213</v>
      </c>
      <c r="D16" s="203">
        <v>0.02</v>
      </c>
      <c r="E16" s="204"/>
      <c r="F16" s="205" t="s">
        <v>214</v>
      </c>
      <c r="G16" s="206">
        <v>0.02</v>
      </c>
      <c r="H16" s="207">
        <v>43344</v>
      </c>
      <c r="I16" s="208"/>
      <c r="J16" s="209"/>
      <c r="K16" s="210"/>
      <c r="M16" s="66"/>
    </row>
    <row r="17" spans="2:11" ht="64" x14ac:dyDescent="0.2">
      <c r="B17" s="213">
        <v>3</v>
      </c>
      <c r="C17" s="214" t="s">
        <v>215</v>
      </c>
      <c r="D17" s="203">
        <v>0.04</v>
      </c>
      <c r="E17" s="204"/>
      <c r="F17" s="205" t="s">
        <v>216</v>
      </c>
      <c r="G17" s="206">
        <v>0.04</v>
      </c>
      <c r="H17" s="207">
        <v>43435</v>
      </c>
      <c r="I17" s="208"/>
      <c r="J17" s="209"/>
      <c r="K17" s="210"/>
    </row>
    <row r="18" spans="2:11" x14ac:dyDescent="0.2">
      <c r="B18" s="480" t="s">
        <v>217</v>
      </c>
      <c r="C18" s="481"/>
      <c r="D18" s="215">
        <f>SUM(D15:D17)</f>
        <v>0.25</v>
      </c>
      <c r="E18" s="482" t="s">
        <v>217</v>
      </c>
      <c r="F18" s="483"/>
      <c r="G18" s="215">
        <f>SUM(G15:G17)</f>
        <v>0.25</v>
      </c>
      <c r="H18" s="216"/>
      <c r="I18" s="217">
        <f>SUM(I15:I17)</f>
        <v>0.19</v>
      </c>
      <c r="J18" s="218"/>
      <c r="K18" s="218"/>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L60"/>
  <sheetViews>
    <sheetView zoomScale="85" zoomScaleNormal="85" zoomScalePageLayoutView="85" workbookViewId="0">
      <selection sqref="A1:XFD1048576"/>
    </sheetView>
  </sheetViews>
  <sheetFormatPr baseColWidth="10" defaultColWidth="10.6640625" defaultRowHeight="13" x14ac:dyDescent="0.15"/>
  <cols>
    <col min="1" max="1" width="1" style="83" customWidth="1"/>
    <col min="2" max="2" width="25.5" style="114" customWidth="1"/>
    <col min="3" max="3" width="14.5" style="83" customWidth="1"/>
    <col min="4" max="4" width="15.6640625" style="83" customWidth="1"/>
    <col min="5" max="5" width="23.5" style="83" customWidth="1"/>
    <col min="6" max="6" width="20.6640625" style="83" customWidth="1"/>
    <col min="7" max="7" width="19.6640625" style="114" customWidth="1"/>
    <col min="8" max="8" width="19.6640625" style="83" customWidth="1"/>
    <col min="9" max="9" width="16.33203125" style="83" customWidth="1"/>
    <col min="10" max="10" width="22.5" style="83" customWidth="1"/>
    <col min="11" max="12" width="10.6640625" style="81"/>
    <col min="13" max="16384" width="10.6640625" style="83"/>
  </cols>
  <sheetData>
    <row r="1" spans="1:10" ht="37.5" customHeight="1" x14ac:dyDescent="0.15">
      <c r="A1" s="128"/>
      <c r="B1" s="582"/>
      <c r="C1" s="585" t="s">
        <v>1</v>
      </c>
      <c r="D1" s="585"/>
      <c r="E1" s="585"/>
      <c r="F1" s="585"/>
      <c r="G1" s="585"/>
      <c r="H1" s="585"/>
      <c r="I1" s="586"/>
      <c r="J1" s="80"/>
    </row>
    <row r="2" spans="1:10" ht="37.5" customHeight="1" x14ac:dyDescent="0.15">
      <c r="A2" s="129"/>
      <c r="B2" s="583"/>
      <c r="C2" s="589" t="s">
        <v>218</v>
      </c>
      <c r="D2" s="589"/>
      <c r="E2" s="589"/>
      <c r="F2" s="589"/>
      <c r="G2" s="589"/>
      <c r="H2" s="589"/>
      <c r="I2" s="587"/>
      <c r="J2" s="80"/>
    </row>
    <row r="3" spans="1:10" ht="37.5" customHeight="1" thickBot="1" x14ac:dyDescent="0.2">
      <c r="A3" s="129"/>
      <c r="B3" s="584"/>
      <c r="C3" s="590" t="s">
        <v>219</v>
      </c>
      <c r="D3" s="590"/>
      <c r="E3" s="590"/>
      <c r="F3" s="590" t="s">
        <v>220</v>
      </c>
      <c r="G3" s="590"/>
      <c r="H3" s="590"/>
      <c r="I3" s="588"/>
      <c r="J3" s="80"/>
    </row>
    <row r="4" spans="1:10" ht="23.25" customHeight="1" x14ac:dyDescent="0.15">
      <c r="A4" s="129"/>
      <c r="B4" s="578" t="s">
        <v>221</v>
      </c>
      <c r="C4" s="579"/>
      <c r="D4" s="579"/>
      <c r="E4" s="579"/>
      <c r="F4" s="579"/>
      <c r="G4" s="579"/>
      <c r="H4" s="579"/>
      <c r="I4" s="580"/>
      <c r="J4" s="84"/>
    </row>
    <row r="5" spans="1:10" ht="24" customHeight="1" x14ac:dyDescent="0.15">
      <c r="A5" s="129"/>
      <c r="B5" s="512" t="s">
        <v>222</v>
      </c>
      <c r="C5" s="513"/>
      <c r="D5" s="513"/>
      <c r="E5" s="513"/>
      <c r="F5" s="513"/>
      <c r="G5" s="513"/>
      <c r="H5" s="513"/>
      <c r="I5" s="514"/>
      <c r="J5" s="85"/>
    </row>
    <row r="6" spans="1:10" ht="30.75" customHeight="1" x14ac:dyDescent="0.15">
      <c r="A6" s="129"/>
      <c r="B6" s="118" t="s">
        <v>223</v>
      </c>
      <c r="C6" s="134">
        <v>1</v>
      </c>
      <c r="D6" s="581" t="s">
        <v>224</v>
      </c>
      <c r="E6" s="581"/>
      <c r="F6" s="559" t="s">
        <v>225</v>
      </c>
      <c r="G6" s="559"/>
      <c r="H6" s="559"/>
      <c r="I6" s="560"/>
      <c r="J6" s="87"/>
    </row>
    <row r="7" spans="1:10" ht="30.75" customHeight="1" x14ac:dyDescent="0.15">
      <c r="A7" s="129"/>
      <c r="B7" s="118" t="s">
        <v>226</v>
      </c>
      <c r="C7" s="134" t="s">
        <v>84</v>
      </c>
      <c r="D7" s="581" t="s">
        <v>227</v>
      </c>
      <c r="E7" s="581"/>
      <c r="F7" s="552" t="s">
        <v>228</v>
      </c>
      <c r="G7" s="552"/>
      <c r="H7" s="219" t="s">
        <v>229</v>
      </c>
      <c r="I7" s="136" t="s">
        <v>84</v>
      </c>
      <c r="J7" s="88"/>
    </row>
    <row r="8" spans="1:10" ht="30.75" customHeight="1" x14ac:dyDescent="0.15">
      <c r="A8" s="129"/>
      <c r="B8" s="118" t="s">
        <v>230</v>
      </c>
      <c r="C8" s="559" t="s">
        <v>231</v>
      </c>
      <c r="D8" s="559"/>
      <c r="E8" s="559"/>
      <c r="F8" s="559"/>
      <c r="G8" s="138" t="s">
        <v>232</v>
      </c>
      <c r="H8" s="571">
        <v>7550</v>
      </c>
      <c r="I8" s="572"/>
      <c r="J8" s="89"/>
    </row>
    <row r="9" spans="1:10" ht="30.75" customHeight="1" x14ac:dyDescent="0.15">
      <c r="A9" s="129"/>
      <c r="B9" s="118" t="s">
        <v>68</v>
      </c>
      <c r="C9" s="573" t="s">
        <v>81</v>
      </c>
      <c r="D9" s="573"/>
      <c r="E9" s="573"/>
      <c r="F9" s="573"/>
      <c r="G9" s="138" t="s">
        <v>233</v>
      </c>
      <c r="H9" s="574" t="s">
        <v>234</v>
      </c>
      <c r="I9" s="575"/>
      <c r="J9" s="90"/>
    </row>
    <row r="10" spans="1:10" ht="39" customHeight="1" x14ac:dyDescent="0.15">
      <c r="A10" s="129"/>
      <c r="B10" s="118" t="s">
        <v>235</v>
      </c>
      <c r="C10" s="559" t="s">
        <v>236</v>
      </c>
      <c r="D10" s="559"/>
      <c r="E10" s="559"/>
      <c r="F10" s="559"/>
      <c r="G10" s="559"/>
      <c r="H10" s="559"/>
      <c r="I10" s="560"/>
      <c r="J10" s="92"/>
    </row>
    <row r="11" spans="1:10" ht="30.75" customHeight="1" x14ac:dyDescent="0.15">
      <c r="A11" s="129"/>
      <c r="B11" s="118" t="s">
        <v>237</v>
      </c>
      <c r="C11" s="559" t="s">
        <v>238</v>
      </c>
      <c r="D11" s="559"/>
      <c r="E11" s="559"/>
      <c r="F11" s="559"/>
      <c r="G11" s="559"/>
      <c r="H11" s="559"/>
      <c r="I11" s="560"/>
      <c r="J11" s="88"/>
    </row>
    <row r="12" spans="1:10" ht="30.75" customHeight="1" x14ac:dyDescent="0.15">
      <c r="A12" s="129"/>
      <c r="B12" s="118" t="s">
        <v>239</v>
      </c>
      <c r="C12" s="550" t="s">
        <v>240</v>
      </c>
      <c r="D12" s="550"/>
      <c r="E12" s="550"/>
      <c r="F12" s="550"/>
      <c r="G12" s="138" t="s">
        <v>241</v>
      </c>
      <c r="H12" s="552" t="s">
        <v>106</v>
      </c>
      <c r="I12" s="576"/>
      <c r="J12" s="88"/>
    </row>
    <row r="13" spans="1:10" ht="30.75" customHeight="1" x14ac:dyDescent="0.15">
      <c r="A13" s="129"/>
      <c r="B13" s="118" t="s">
        <v>242</v>
      </c>
      <c r="C13" s="577" t="s">
        <v>243</v>
      </c>
      <c r="D13" s="577"/>
      <c r="E13" s="577"/>
      <c r="F13" s="577"/>
      <c r="G13" s="138" t="s">
        <v>244</v>
      </c>
      <c r="H13" s="552" t="s">
        <v>44</v>
      </c>
      <c r="I13" s="576"/>
      <c r="J13" s="88"/>
    </row>
    <row r="14" spans="1:10" ht="64.5" customHeight="1" x14ac:dyDescent="0.15">
      <c r="A14" s="129"/>
      <c r="B14" s="118" t="s">
        <v>245</v>
      </c>
      <c r="C14" s="550" t="s">
        <v>246</v>
      </c>
      <c r="D14" s="550"/>
      <c r="E14" s="550"/>
      <c r="F14" s="550"/>
      <c r="G14" s="550"/>
      <c r="H14" s="550"/>
      <c r="I14" s="551"/>
      <c r="J14" s="92"/>
    </row>
    <row r="15" spans="1:10" ht="30.75" customHeight="1" x14ac:dyDescent="0.15">
      <c r="A15" s="129"/>
      <c r="B15" s="118" t="s">
        <v>247</v>
      </c>
      <c r="C15" s="550" t="s">
        <v>248</v>
      </c>
      <c r="D15" s="550"/>
      <c r="E15" s="550"/>
      <c r="F15" s="550"/>
      <c r="G15" s="550"/>
      <c r="H15" s="550"/>
      <c r="I15" s="551"/>
      <c r="J15" s="93"/>
    </row>
    <row r="16" spans="1:10" ht="20.25" customHeight="1" x14ac:dyDescent="0.15">
      <c r="A16" s="129"/>
      <c r="B16" s="118" t="s">
        <v>249</v>
      </c>
      <c r="C16" s="550" t="s">
        <v>250</v>
      </c>
      <c r="D16" s="550"/>
      <c r="E16" s="550"/>
      <c r="F16" s="550"/>
      <c r="G16" s="550"/>
      <c r="H16" s="550"/>
      <c r="I16" s="551"/>
      <c r="J16" s="94"/>
    </row>
    <row r="17" spans="1:10" ht="30.75" customHeight="1" x14ac:dyDescent="0.15">
      <c r="A17" s="129"/>
      <c r="B17" s="118" t="s">
        <v>251</v>
      </c>
      <c r="C17" s="552" t="s">
        <v>252</v>
      </c>
      <c r="D17" s="553"/>
      <c r="E17" s="553"/>
      <c r="F17" s="553"/>
      <c r="G17" s="553"/>
      <c r="H17" s="553"/>
      <c r="I17" s="554"/>
      <c r="J17" s="95"/>
    </row>
    <row r="18" spans="1:10" ht="18" customHeight="1" x14ac:dyDescent="0.15">
      <c r="A18" s="129"/>
      <c r="B18" s="555" t="s">
        <v>253</v>
      </c>
      <c r="C18" s="556" t="s">
        <v>254</v>
      </c>
      <c r="D18" s="556"/>
      <c r="E18" s="556"/>
      <c r="F18" s="557" t="s">
        <v>255</v>
      </c>
      <c r="G18" s="557"/>
      <c r="H18" s="557"/>
      <c r="I18" s="558"/>
      <c r="J18" s="96"/>
    </row>
    <row r="19" spans="1:10" ht="39.75" customHeight="1" x14ac:dyDescent="0.15">
      <c r="A19" s="129"/>
      <c r="B19" s="555"/>
      <c r="C19" s="559" t="s">
        <v>256</v>
      </c>
      <c r="D19" s="559"/>
      <c r="E19" s="559"/>
      <c r="F19" s="559" t="s">
        <v>257</v>
      </c>
      <c r="G19" s="559"/>
      <c r="H19" s="559"/>
      <c r="I19" s="560"/>
      <c r="J19" s="94"/>
    </row>
    <row r="20" spans="1:10" ht="39.75" customHeight="1" x14ac:dyDescent="0.15">
      <c r="A20" s="129"/>
      <c r="B20" s="118" t="s">
        <v>258</v>
      </c>
      <c r="C20" s="561" t="s">
        <v>252</v>
      </c>
      <c r="D20" s="562"/>
      <c r="E20" s="563"/>
      <c r="F20" s="564" t="s">
        <v>252</v>
      </c>
      <c r="G20" s="564"/>
      <c r="H20" s="564"/>
      <c r="I20" s="565"/>
      <c r="J20" s="88"/>
    </row>
    <row r="21" spans="1:10" ht="106.25" customHeight="1" x14ac:dyDescent="0.15">
      <c r="A21" s="129"/>
      <c r="B21" s="118" t="s">
        <v>259</v>
      </c>
      <c r="C21" s="566" t="s">
        <v>260</v>
      </c>
      <c r="D21" s="567"/>
      <c r="E21" s="568"/>
      <c r="F21" s="524" t="s">
        <v>261</v>
      </c>
      <c r="G21" s="525"/>
      <c r="H21" s="525"/>
      <c r="I21" s="526"/>
      <c r="J21" s="93"/>
    </row>
    <row r="22" spans="1:10" ht="23.25" customHeight="1" x14ac:dyDescent="0.15">
      <c r="A22" s="129"/>
      <c r="B22" s="118" t="s">
        <v>262</v>
      </c>
      <c r="C22" s="545">
        <v>44562</v>
      </c>
      <c r="D22" s="569"/>
      <c r="E22" s="570"/>
      <c r="F22" s="135" t="s">
        <v>263</v>
      </c>
      <c r="G22" s="220">
        <v>0.1</v>
      </c>
      <c r="H22" s="135" t="s">
        <v>264</v>
      </c>
      <c r="I22" s="221">
        <v>0.1</v>
      </c>
      <c r="J22" s="98"/>
    </row>
    <row r="23" spans="1:10" ht="27" customHeight="1" x14ac:dyDescent="0.15">
      <c r="A23" s="129"/>
      <c r="B23" s="118" t="s">
        <v>265</v>
      </c>
      <c r="C23" s="545">
        <v>44926</v>
      </c>
      <c r="D23" s="525"/>
      <c r="E23" s="546"/>
      <c r="F23" s="135" t="s">
        <v>266</v>
      </c>
      <c r="G23" s="547">
        <v>0.154</v>
      </c>
      <c r="H23" s="548"/>
      <c r="I23" s="549"/>
      <c r="J23" s="99"/>
    </row>
    <row r="24" spans="1:10" ht="30.75" customHeight="1" x14ac:dyDescent="0.15">
      <c r="A24" s="129"/>
      <c r="B24" s="222" t="s">
        <v>267</v>
      </c>
      <c r="C24" s="521" t="s">
        <v>268</v>
      </c>
      <c r="D24" s="522"/>
      <c r="E24" s="523"/>
      <c r="F24" s="223" t="s">
        <v>269</v>
      </c>
      <c r="G24" s="524" t="s">
        <v>46</v>
      </c>
      <c r="H24" s="525"/>
      <c r="I24" s="526"/>
      <c r="J24" s="96"/>
    </row>
    <row r="25" spans="1:10" ht="22.5" customHeight="1" x14ac:dyDescent="0.15">
      <c r="A25" s="129"/>
      <c r="B25" s="512" t="s">
        <v>270</v>
      </c>
      <c r="C25" s="513"/>
      <c r="D25" s="513"/>
      <c r="E25" s="513"/>
      <c r="F25" s="513"/>
      <c r="G25" s="513"/>
      <c r="H25" s="513"/>
      <c r="I25" s="514"/>
      <c r="J25" s="85"/>
    </row>
    <row r="26" spans="1:10" ht="43.5" customHeight="1" x14ac:dyDescent="0.15">
      <c r="A26" s="129"/>
      <c r="B26" s="100" t="s">
        <v>148</v>
      </c>
      <c r="C26" s="138" t="s">
        <v>271</v>
      </c>
      <c r="D26" s="138" t="s">
        <v>272</v>
      </c>
      <c r="E26" s="139" t="s">
        <v>273</v>
      </c>
      <c r="F26" s="138" t="s">
        <v>274</v>
      </c>
      <c r="G26" s="138" t="s">
        <v>275</v>
      </c>
      <c r="H26" s="139" t="s">
        <v>276</v>
      </c>
      <c r="I26" s="140" t="s">
        <v>277</v>
      </c>
      <c r="J26" s="94"/>
    </row>
    <row r="27" spans="1:10" ht="15.5" customHeight="1" x14ac:dyDescent="0.2">
      <c r="A27" s="129"/>
      <c r="B27" s="100" t="s">
        <v>278</v>
      </c>
      <c r="C27" s="224">
        <v>0</v>
      </c>
      <c r="D27" s="224">
        <v>0</v>
      </c>
      <c r="E27" s="225">
        <f>IF(OR(C27=0,C27=""),0,D27/C27)</f>
        <v>0</v>
      </c>
      <c r="F27" s="542">
        <f>SUM(C27:C38)</f>
        <v>0.154</v>
      </c>
      <c r="G27" s="542">
        <f>SUM(D27:D38)</f>
        <v>0.154</v>
      </c>
      <c r="H27" s="225">
        <f>+(D27*100%)/$G$23</f>
        <v>0</v>
      </c>
      <c r="I27" s="539">
        <f>G27+I22</f>
        <v>0.254</v>
      </c>
      <c r="J27" s="94"/>
    </row>
    <row r="28" spans="1:10" ht="15.5" customHeight="1" x14ac:dyDescent="0.2">
      <c r="A28" s="129"/>
      <c r="B28" s="100" t="s">
        <v>158</v>
      </c>
      <c r="C28" s="224">
        <v>0</v>
      </c>
      <c r="D28" s="224">
        <v>0</v>
      </c>
      <c r="E28" s="225">
        <f t="shared" ref="E28:E38" si="0">IF(OR(C28=0,C28=""),0,D28/C28)</f>
        <v>0</v>
      </c>
      <c r="F28" s="543"/>
      <c r="G28" s="543"/>
      <c r="H28" s="225">
        <f>+IF(D28="","",((D28*100%)/$G$23)+H27)</f>
        <v>0</v>
      </c>
      <c r="I28" s="540"/>
      <c r="J28" s="94"/>
    </row>
    <row r="29" spans="1:10" ht="15.5" customHeight="1" x14ac:dyDescent="0.2">
      <c r="A29" s="129"/>
      <c r="B29" s="100" t="s">
        <v>159</v>
      </c>
      <c r="C29" s="224">
        <v>2.5679999999999998E-2</v>
      </c>
      <c r="D29" s="224">
        <v>2.5679999999999998E-2</v>
      </c>
      <c r="E29" s="225">
        <f t="shared" si="0"/>
        <v>1</v>
      </c>
      <c r="F29" s="543"/>
      <c r="G29" s="543"/>
      <c r="H29" s="225">
        <f>+IF(D29="","",((D29*100%)/$G$23)+H28)</f>
        <v>0.16675324675324674</v>
      </c>
      <c r="I29" s="540"/>
      <c r="J29" s="94"/>
    </row>
    <row r="30" spans="1:10" ht="15.5" customHeight="1" x14ac:dyDescent="0.2">
      <c r="A30" s="129"/>
      <c r="B30" s="100" t="s">
        <v>160</v>
      </c>
      <c r="C30" s="224">
        <v>2.5679999999999998E-2</v>
      </c>
      <c r="D30" s="224">
        <v>2.5679999999999998E-2</v>
      </c>
      <c r="E30" s="225">
        <f t="shared" si="0"/>
        <v>1</v>
      </c>
      <c r="F30" s="543"/>
      <c r="G30" s="543"/>
      <c r="H30" s="225">
        <f t="shared" ref="H30:H38" si="1">+IF(D30="","",((D30*100%)/$G$23)+H29)</f>
        <v>0.33350649350649347</v>
      </c>
      <c r="I30" s="540"/>
      <c r="J30" s="94"/>
    </row>
    <row r="31" spans="1:10" ht="15.5" customHeight="1" x14ac:dyDescent="0.2">
      <c r="A31" s="129"/>
      <c r="B31" s="100" t="s">
        <v>161</v>
      </c>
      <c r="C31" s="224">
        <v>2.5679999999999998E-2</v>
      </c>
      <c r="D31" s="224">
        <v>2.5679999999999998E-2</v>
      </c>
      <c r="E31" s="225">
        <f t="shared" si="0"/>
        <v>1</v>
      </c>
      <c r="F31" s="543"/>
      <c r="G31" s="543"/>
      <c r="H31" s="225">
        <f t="shared" si="1"/>
        <v>0.50025974025974018</v>
      </c>
      <c r="I31" s="540"/>
      <c r="J31" s="94"/>
    </row>
    <row r="32" spans="1:10" ht="15.5" customHeight="1" x14ac:dyDescent="0.2">
      <c r="A32" s="129"/>
      <c r="B32" s="100" t="s">
        <v>162</v>
      </c>
      <c r="C32" s="224">
        <v>7.6960000000000001E-2</v>
      </c>
      <c r="D32" s="224">
        <v>7.6960000000000001E-2</v>
      </c>
      <c r="E32" s="225">
        <f t="shared" si="0"/>
        <v>1</v>
      </c>
      <c r="F32" s="543"/>
      <c r="G32" s="543"/>
      <c r="H32" s="225">
        <f t="shared" si="1"/>
        <v>1</v>
      </c>
      <c r="I32" s="540"/>
      <c r="J32" s="94"/>
    </row>
    <row r="33" spans="1:10" ht="19.5" customHeight="1" x14ac:dyDescent="0.2">
      <c r="A33" s="129"/>
      <c r="B33" s="100" t="s">
        <v>163</v>
      </c>
      <c r="C33" s="224">
        <v>0</v>
      </c>
      <c r="D33" s="224">
        <v>0</v>
      </c>
      <c r="E33" s="225">
        <f t="shared" si="0"/>
        <v>0</v>
      </c>
      <c r="F33" s="543"/>
      <c r="G33" s="543"/>
      <c r="H33" s="225">
        <f t="shared" si="1"/>
        <v>1</v>
      </c>
      <c r="I33" s="540"/>
      <c r="J33" s="102"/>
    </row>
    <row r="34" spans="1:10" ht="19.5" customHeight="1" x14ac:dyDescent="0.2">
      <c r="A34" s="129"/>
      <c r="B34" s="100" t="s">
        <v>164</v>
      </c>
      <c r="C34" s="224">
        <v>0</v>
      </c>
      <c r="D34" s="224">
        <v>0</v>
      </c>
      <c r="E34" s="225">
        <f t="shared" si="0"/>
        <v>0</v>
      </c>
      <c r="F34" s="543"/>
      <c r="G34" s="543"/>
      <c r="H34" s="225">
        <f t="shared" si="1"/>
        <v>1</v>
      </c>
      <c r="I34" s="540"/>
      <c r="J34" s="102"/>
    </row>
    <row r="35" spans="1:10" ht="19.5" customHeight="1" x14ac:dyDescent="0.2">
      <c r="A35" s="129"/>
      <c r="B35" s="100" t="s">
        <v>165</v>
      </c>
      <c r="C35" s="224">
        <v>0</v>
      </c>
      <c r="D35" s="224">
        <v>0</v>
      </c>
      <c r="E35" s="225">
        <f t="shared" si="0"/>
        <v>0</v>
      </c>
      <c r="F35" s="543"/>
      <c r="G35" s="543"/>
      <c r="H35" s="225">
        <f t="shared" si="1"/>
        <v>1</v>
      </c>
      <c r="I35" s="540"/>
      <c r="J35" s="296"/>
    </row>
    <row r="36" spans="1:10" ht="19.5" customHeight="1" x14ac:dyDescent="0.2">
      <c r="A36" s="129"/>
      <c r="B36" s="100" t="s">
        <v>166</v>
      </c>
      <c r="C36" s="224">
        <v>0</v>
      </c>
      <c r="D36" s="224">
        <v>0</v>
      </c>
      <c r="E36" s="225">
        <f t="shared" si="0"/>
        <v>0</v>
      </c>
      <c r="F36" s="543"/>
      <c r="G36" s="543"/>
      <c r="H36" s="225">
        <f t="shared" si="1"/>
        <v>1</v>
      </c>
      <c r="I36" s="540"/>
      <c r="J36" s="296"/>
    </row>
    <row r="37" spans="1:10" ht="19.5" customHeight="1" x14ac:dyDescent="0.2">
      <c r="A37" s="129"/>
      <c r="B37" s="100" t="s">
        <v>167</v>
      </c>
      <c r="C37" s="224">
        <v>0</v>
      </c>
      <c r="D37" s="224">
        <v>0</v>
      </c>
      <c r="E37" s="225">
        <f t="shared" si="0"/>
        <v>0</v>
      </c>
      <c r="F37" s="543"/>
      <c r="G37" s="543"/>
      <c r="H37" s="225">
        <f t="shared" si="1"/>
        <v>1</v>
      </c>
      <c r="I37" s="540"/>
      <c r="J37" s="102"/>
    </row>
    <row r="38" spans="1:10" ht="19.5" customHeight="1" x14ac:dyDescent="0.2">
      <c r="A38" s="129"/>
      <c r="B38" s="100" t="s">
        <v>168</v>
      </c>
      <c r="C38" s="224">
        <v>0</v>
      </c>
      <c r="D38" s="224">
        <v>0</v>
      </c>
      <c r="E38" s="225">
        <f t="shared" si="0"/>
        <v>0</v>
      </c>
      <c r="F38" s="544"/>
      <c r="G38" s="544"/>
      <c r="H38" s="225">
        <f t="shared" si="1"/>
        <v>1</v>
      </c>
      <c r="I38" s="541"/>
      <c r="J38" s="102"/>
    </row>
    <row r="39" spans="1:10" ht="169.25" customHeight="1" x14ac:dyDescent="0.15">
      <c r="A39" s="129"/>
      <c r="B39" s="119" t="s">
        <v>279</v>
      </c>
      <c r="C39" s="527" t="s">
        <v>448</v>
      </c>
      <c r="D39" s="528"/>
      <c r="E39" s="528"/>
      <c r="F39" s="528"/>
      <c r="G39" s="528"/>
      <c r="H39" s="528"/>
      <c r="I39" s="529"/>
      <c r="J39" s="103"/>
    </row>
    <row r="40" spans="1:10" ht="34.5" customHeight="1" x14ac:dyDescent="0.15">
      <c r="A40" s="129"/>
      <c r="B40" s="530"/>
      <c r="C40" s="531"/>
      <c r="D40" s="531"/>
      <c r="E40" s="531"/>
      <c r="F40" s="531"/>
      <c r="G40" s="531"/>
      <c r="H40" s="531"/>
      <c r="I40" s="532"/>
      <c r="J40" s="85"/>
    </row>
    <row r="41" spans="1:10" ht="34.5" customHeight="1" x14ac:dyDescent="0.15">
      <c r="A41" s="129"/>
      <c r="B41" s="533"/>
      <c r="C41" s="534"/>
      <c r="D41" s="534"/>
      <c r="E41" s="534"/>
      <c r="F41" s="534"/>
      <c r="G41" s="534"/>
      <c r="H41" s="534"/>
      <c r="I41" s="535"/>
      <c r="J41" s="103"/>
    </row>
    <row r="42" spans="1:10" ht="34.5" customHeight="1" x14ac:dyDescent="0.15">
      <c r="A42" s="129"/>
      <c r="B42" s="533"/>
      <c r="C42" s="534"/>
      <c r="D42" s="534"/>
      <c r="E42" s="534"/>
      <c r="F42" s="534"/>
      <c r="G42" s="534"/>
      <c r="H42" s="534"/>
      <c r="I42" s="535"/>
      <c r="J42" s="103"/>
    </row>
    <row r="43" spans="1:10" ht="34.5" customHeight="1" x14ac:dyDescent="0.15">
      <c r="A43" s="129"/>
      <c r="B43" s="533"/>
      <c r="C43" s="534"/>
      <c r="D43" s="534"/>
      <c r="E43" s="534"/>
      <c r="F43" s="534"/>
      <c r="G43" s="534"/>
      <c r="H43" s="534"/>
      <c r="I43" s="535"/>
      <c r="J43" s="103"/>
    </row>
    <row r="44" spans="1:10" ht="34.5" customHeight="1" x14ac:dyDescent="0.15">
      <c r="A44" s="129"/>
      <c r="B44" s="536"/>
      <c r="C44" s="537"/>
      <c r="D44" s="537"/>
      <c r="E44" s="537"/>
      <c r="F44" s="537"/>
      <c r="G44" s="537"/>
      <c r="H44" s="537"/>
      <c r="I44" s="538"/>
      <c r="J44" s="84"/>
    </row>
    <row r="45" spans="1:10" ht="387.5" customHeight="1" x14ac:dyDescent="0.15">
      <c r="A45" s="129"/>
      <c r="B45" s="118" t="s">
        <v>280</v>
      </c>
      <c r="C45" s="501" t="s">
        <v>449</v>
      </c>
      <c r="D45" s="502"/>
      <c r="E45" s="502"/>
      <c r="F45" s="502"/>
      <c r="G45" s="502"/>
      <c r="H45" s="502"/>
      <c r="I45" s="503"/>
      <c r="J45" s="104"/>
    </row>
    <row r="46" spans="1:10" ht="75" customHeight="1" x14ac:dyDescent="0.15">
      <c r="A46" s="129"/>
      <c r="B46" s="118" t="s">
        <v>281</v>
      </c>
      <c r="C46" s="515" t="s">
        <v>446</v>
      </c>
      <c r="D46" s="516"/>
      <c r="E46" s="516"/>
      <c r="F46" s="516"/>
      <c r="G46" s="516"/>
      <c r="H46" s="516"/>
      <c r="I46" s="517"/>
      <c r="J46" s="104"/>
    </row>
    <row r="47" spans="1:10" ht="81.5" customHeight="1" x14ac:dyDescent="0.15">
      <c r="A47" s="129"/>
      <c r="B47" s="120" t="s">
        <v>282</v>
      </c>
      <c r="C47" s="518" t="s">
        <v>447</v>
      </c>
      <c r="D47" s="519"/>
      <c r="E47" s="519"/>
      <c r="F47" s="519"/>
      <c r="G47" s="519"/>
      <c r="H47" s="519"/>
      <c r="I47" s="520"/>
      <c r="J47" s="104"/>
    </row>
    <row r="48" spans="1:10" ht="22.5" customHeight="1" x14ac:dyDescent="0.15">
      <c r="A48" s="129"/>
      <c r="B48" s="512" t="s">
        <v>283</v>
      </c>
      <c r="C48" s="513"/>
      <c r="D48" s="513"/>
      <c r="E48" s="513"/>
      <c r="F48" s="513"/>
      <c r="G48" s="513"/>
      <c r="H48" s="513"/>
      <c r="I48" s="514"/>
      <c r="J48" s="104"/>
    </row>
    <row r="49" spans="1:10" ht="22.5" customHeight="1" x14ac:dyDescent="0.15">
      <c r="A49" s="129"/>
      <c r="B49" s="508" t="s">
        <v>284</v>
      </c>
      <c r="C49" s="141" t="s">
        <v>285</v>
      </c>
      <c r="D49" s="510" t="s">
        <v>286</v>
      </c>
      <c r="E49" s="510"/>
      <c r="F49" s="510"/>
      <c r="G49" s="510" t="s">
        <v>287</v>
      </c>
      <c r="H49" s="510"/>
      <c r="I49" s="511"/>
      <c r="J49" s="105"/>
    </row>
    <row r="50" spans="1:10" ht="30.75" customHeight="1" x14ac:dyDescent="0.15">
      <c r="A50" s="129"/>
      <c r="B50" s="509"/>
      <c r="C50" s="226"/>
      <c r="D50" s="504"/>
      <c r="E50" s="504"/>
      <c r="F50" s="504"/>
      <c r="G50" s="504"/>
      <c r="H50" s="504"/>
      <c r="I50" s="505"/>
      <c r="J50" s="105"/>
    </row>
    <row r="51" spans="1:10" ht="32.25" customHeight="1" x14ac:dyDescent="0.15">
      <c r="A51" s="129"/>
      <c r="B51" s="121" t="s">
        <v>288</v>
      </c>
      <c r="C51" s="504" t="s">
        <v>289</v>
      </c>
      <c r="D51" s="504"/>
      <c r="E51" s="504"/>
      <c r="F51" s="504"/>
      <c r="G51" s="504"/>
      <c r="H51" s="504"/>
      <c r="I51" s="505"/>
      <c r="J51" s="106"/>
    </row>
    <row r="52" spans="1:10" ht="28.5" customHeight="1" x14ac:dyDescent="0.15">
      <c r="A52" s="129"/>
      <c r="B52" s="122" t="s">
        <v>290</v>
      </c>
      <c r="C52" s="504" t="s">
        <v>289</v>
      </c>
      <c r="D52" s="504"/>
      <c r="E52" s="504"/>
      <c r="F52" s="504"/>
      <c r="G52" s="504"/>
      <c r="H52" s="504"/>
      <c r="I52" s="505"/>
      <c r="J52" s="106"/>
    </row>
    <row r="53" spans="1:10" ht="30" customHeight="1" x14ac:dyDescent="0.15">
      <c r="A53" s="129"/>
      <c r="B53" s="120" t="s">
        <v>291</v>
      </c>
      <c r="C53" s="504" t="s">
        <v>292</v>
      </c>
      <c r="D53" s="504"/>
      <c r="E53" s="504"/>
      <c r="F53" s="504"/>
      <c r="G53" s="504"/>
      <c r="H53" s="504"/>
      <c r="I53" s="505"/>
      <c r="J53" s="107"/>
    </row>
    <row r="54" spans="1:10" ht="31.5" customHeight="1" thickBot="1" x14ac:dyDescent="0.2">
      <c r="A54" s="130"/>
      <c r="B54" s="116" t="s">
        <v>293</v>
      </c>
      <c r="C54" s="506" t="s">
        <v>294</v>
      </c>
      <c r="D54" s="506"/>
      <c r="E54" s="506"/>
      <c r="F54" s="506"/>
      <c r="G54" s="506"/>
      <c r="H54" s="506"/>
      <c r="I54" s="507"/>
      <c r="J54" s="108"/>
    </row>
    <row r="55" spans="1:10" x14ac:dyDescent="0.15">
      <c r="B55" s="109"/>
      <c r="C55" s="110"/>
      <c r="D55" s="110"/>
      <c r="E55" s="111"/>
      <c r="F55" s="111"/>
      <c r="G55" s="117"/>
      <c r="H55" s="113"/>
      <c r="I55" s="110"/>
      <c r="J55" s="108"/>
    </row>
    <row r="56" spans="1:10" x14ac:dyDescent="0.15">
      <c r="B56" s="109"/>
      <c r="C56" s="110"/>
      <c r="D56" s="110"/>
      <c r="E56" s="111"/>
      <c r="F56" s="111"/>
      <c r="G56" s="117"/>
      <c r="H56" s="113"/>
      <c r="I56" s="110"/>
      <c r="J56" s="108"/>
    </row>
    <row r="57" spans="1:10" x14ac:dyDescent="0.15">
      <c r="B57" s="109"/>
      <c r="C57" s="110"/>
      <c r="D57" s="110"/>
      <c r="E57" s="111"/>
      <c r="F57" s="111"/>
      <c r="G57" s="117"/>
      <c r="H57" s="113"/>
      <c r="I57" s="110"/>
      <c r="J57" s="108"/>
    </row>
    <row r="58" spans="1:10" x14ac:dyDescent="0.15">
      <c r="B58" s="109"/>
      <c r="C58" s="110"/>
      <c r="D58" s="110"/>
      <c r="E58" s="111"/>
      <c r="F58" s="111"/>
      <c r="G58" s="117"/>
      <c r="H58" s="113"/>
      <c r="I58" s="110"/>
      <c r="J58" s="108"/>
    </row>
    <row r="59" spans="1:10" x14ac:dyDescent="0.15">
      <c r="B59" s="109"/>
      <c r="C59" s="110"/>
      <c r="D59" s="110"/>
      <c r="E59" s="111"/>
      <c r="F59" s="111"/>
      <c r="G59" s="117"/>
      <c r="H59" s="113"/>
      <c r="I59" s="110"/>
      <c r="J59" s="108"/>
    </row>
    <row r="60" spans="1:10" ht="25.5" customHeight="1" x14ac:dyDescent="0.15">
      <c r="B60" s="109"/>
      <c r="C60" s="110"/>
      <c r="D60" s="110"/>
      <c r="E60" s="111"/>
      <c r="F60" s="111"/>
      <c r="G60" s="117"/>
      <c r="H60" s="113"/>
      <c r="I60" s="110"/>
      <c r="J60" s="108"/>
    </row>
  </sheetData>
  <sheetProtection algorithmName="SHA-512" hashValue="4OgaNmNeFi2lOgGAjAubnjVwCduzV95UTTVX8rabzB0L2pthFxrd5Aruj1Fsag6HUFSZZi/oAVN9RhYRfvoT4Q==" saltValue="dB2XfYlwP/kVdDiop/M6fg==" spinCount="100000" sheet="1" objects="1" scenarios="1"/>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45:I45"/>
    <mergeCell ref="C53:I53"/>
    <mergeCell ref="C54:I54"/>
    <mergeCell ref="B49:B50"/>
    <mergeCell ref="D49:F49"/>
    <mergeCell ref="G49:I49"/>
    <mergeCell ref="D50:F50"/>
    <mergeCell ref="G50:I50"/>
    <mergeCell ref="C51:I51"/>
    <mergeCell ref="B48:I48"/>
    <mergeCell ref="C46:I46"/>
    <mergeCell ref="C47:I47"/>
    <mergeCell ref="C52:I52"/>
  </mergeCells>
  <phoneticPr fontId="74" type="noConversion"/>
  <dataValidations disablePrompts="1" count="2">
    <dataValidation type="list" allowBlank="1" showInputMessage="1" showErrorMessage="1" sqref="C7 I7" xr:uid="{ED8530C7-01D7-464F-9F5F-ACF2F40B37DC}">
      <formula1>#REF!</formula1>
    </dataValidation>
    <dataValidation type="list" allowBlank="1" showInputMessage="1" showErrorMessage="1" sqref="J10 H12:I13 C24:E24 C9:F9" xr:uid="{50695522-8E85-49C3-8E03-D606C7C139B1}">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19" zoomScale="80" zoomScaleNormal="70" zoomScaleSheetLayoutView="80" zoomScalePageLayoutView="85" workbookViewId="0">
      <selection activeCell="F24" sqref="F24"/>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582"/>
      <c r="C1" s="630" t="s">
        <v>1</v>
      </c>
      <c r="D1" s="630"/>
      <c r="E1" s="630"/>
      <c r="F1" s="630"/>
      <c r="G1" s="630"/>
      <c r="H1" s="630"/>
      <c r="I1" s="586"/>
      <c r="J1" s="80"/>
      <c r="K1" s="80"/>
      <c r="M1" s="82" t="s">
        <v>67</v>
      </c>
    </row>
    <row r="2" spans="2:14" ht="37.5" customHeight="1" x14ac:dyDescent="0.15">
      <c r="B2" s="583"/>
      <c r="C2" s="589" t="s">
        <v>218</v>
      </c>
      <c r="D2" s="589"/>
      <c r="E2" s="589"/>
      <c r="F2" s="589"/>
      <c r="G2" s="589"/>
      <c r="H2" s="589"/>
      <c r="I2" s="587"/>
      <c r="J2" s="80"/>
      <c r="K2" s="80"/>
      <c r="M2" s="82" t="s">
        <v>68</v>
      </c>
    </row>
    <row r="3" spans="2:14" ht="37.5" customHeight="1" thickBot="1" x14ac:dyDescent="0.2">
      <c r="B3" s="584"/>
      <c r="C3" s="590" t="s">
        <v>219</v>
      </c>
      <c r="D3" s="590"/>
      <c r="E3" s="590"/>
      <c r="F3" s="590" t="s">
        <v>220</v>
      </c>
      <c r="G3" s="590"/>
      <c r="H3" s="590"/>
      <c r="I3" s="588"/>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row>
    <row r="6" spans="2:14" ht="30.75" customHeight="1" x14ac:dyDescent="0.15">
      <c r="B6" s="118" t="s">
        <v>223</v>
      </c>
      <c r="C6" s="134">
        <v>2</v>
      </c>
      <c r="D6" s="581" t="s">
        <v>224</v>
      </c>
      <c r="E6" s="581"/>
      <c r="F6" s="559" t="s">
        <v>295</v>
      </c>
      <c r="G6" s="559"/>
      <c r="H6" s="559"/>
      <c r="I6" s="560"/>
      <c r="J6" s="87"/>
      <c r="K6" s="87"/>
      <c r="M6" s="82" t="s">
        <v>81</v>
      </c>
      <c r="N6" s="86"/>
    </row>
    <row r="7" spans="2:14" ht="30.75" customHeight="1" x14ac:dyDescent="0.15">
      <c r="B7" s="118" t="s">
        <v>226</v>
      </c>
      <c r="C7" s="134" t="s">
        <v>84</v>
      </c>
      <c r="D7" s="581" t="s">
        <v>227</v>
      </c>
      <c r="E7" s="581"/>
      <c r="F7" s="552" t="s">
        <v>296</v>
      </c>
      <c r="G7" s="552"/>
      <c r="H7" s="135" t="s">
        <v>229</v>
      </c>
      <c r="I7" s="136" t="s">
        <v>84</v>
      </c>
      <c r="J7" s="88"/>
      <c r="K7" s="88"/>
      <c r="M7" s="82" t="s">
        <v>88</v>
      </c>
      <c r="N7" s="86"/>
    </row>
    <row r="8" spans="2:14" ht="30.75" customHeight="1" x14ac:dyDescent="0.15">
      <c r="B8" s="118" t="s">
        <v>230</v>
      </c>
      <c r="C8" s="559" t="s">
        <v>231</v>
      </c>
      <c r="D8" s="559"/>
      <c r="E8" s="559"/>
      <c r="F8" s="559"/>
      <c r="G8" s="135" t="s">
        <v>232</v>
      </c>
      <c r="H8" s="571">
        <v>7550</v>
      </c>
      <c r="I8" s="572"/>
      <c r="J8" s="89"/>
      <c r="K8" s="89"/>
      <c r="M8" s="82" t="s">
        <v>93</v>
      </c>
      <c r="N8" s="86"/>
    </row>
    <row r="9" spans="2:14" ht="30.75" customHeight="1" x14ac:dyDescent="0.15">
      <c r="B9" s="118" t="s">
        <v>68</v>
      </c>
      <c r="C9" s="573" t="s">
        <v>81</v>
      </c>
      <c r="D9" s="573"/>
      <c r="E9" s="573"/>
      <c r="F9" s="573"/>
      <c r="G9" s="135" t="s">
        <v>233</v>
      </c>
      <c r="H9" s="574" t="s">
        <v>234</v>
      </c>
      <c r="I9" s="575"/>
      <c r="J9" s="90"/>
      <c r="K9" s="90"/>
      <c r="M9" s="91" t="s">
        <v>97</v>
      </c>
    </row>
    <row r="10" spans="2:14" ht="98.25" customHeight="1" x14ac:dyDescent="0.15">
      <c r="B10" s="118" t="s">
        <v>235</v>
      </c>
      <c r="C10" s="559" t="s">
        <v>297</v>
      </c>
      <c r="D10" s="559"/>
      <c r="E10" s="559"/>
      <c r="F10" s="559"/>
      <c r="G10" s="559"/>
      <c r="H10" s="559"/>
      <c r="I10" s="560"/>
      <c r="J10" s="92"/>
      <c r="K10" s="92"/>
      <c r="M10" s="91"/>
    </row>
    <row r="11" spans="2:14" ht="30.75" customHeight="1" x14ac:dyDescent="0.15">
      <c r="B11" s="118" t="s">
        <v>237</v>
      </c>
      <c r="C11" s="559" t="s">
        <v>238</v>
      </c>
      <c r="D11" s="559"/>
      <c r="E11" s="559"/>
      <c r="F11" s="559"/>
      <c r="G11" s="559"/>
      <c r="H11" s="559"/>
      <c r="I11" s="560"/>
      <c r="J11" s="88"/>
      <c r="K11" s="88"/>
      <c r="M11" s="91"/>
      <c r="N11" s="86"/>
    </row>
    <row r="12" spans="2:14" ht="30.75" customHeight="1" x14ac:dyDescent="0.15">
      <c r="B12" s="118" t="s">
        <v>239</v>
      </c>
      <c r="C12" s="550" t="s">
        <v>298</v>
      </c>
      <c r="D12" s="550"/>
      <c r="E12" s="550"/>
      <c r="F12" s="550"/>
      <c r="G12" s="135" t="s">
        <v>241</v>
      </c>
      <c r="H12" s="552" t="s">
        <v>106</v>
      </c>
      <c r="I12" s="576"/>
      <c r="J12" s="88"/>
      <c r="K12" s="88"/>
      <c r="M12" s="91" t="s">
        <v>107</v>
      </c>
      <c r="N12" s="86"/>
    </row>
    <row r="13" spans="2:14" ht="30.75" customHeight="1" x14ac:dyDescent="0.15">
      <c r="B13" s="118" t="s">
        <v>242</v>
      </c>
      <c r="C13" s="577" t="s">
        <v>243</v>
      </c>
      <c r="D13" s="577"/>
      <c r="E13" s="577"/>
      <c r="F13" s="577"/>
      <c r="G13" s="138" t="s">
        <v>244</v>
      </c>
      <c r="H13" s="552" t="s">
        <v>82</v>
      </c>
      <c r="I13" s="576"/>
      <c r="J13" s="88"/>
      <c r="K13" s="88"/>
      <c r="M13" s="91" t="s">
        <v>111</v>
      </c>
    </row>
    <row r="14" spans="2:14" ht="64.5" customHeight="1" x14ac:dyDescent="0.15">
      <c r="B14" s="118" t="s">
        <v>245</v>
      </c>
      <c r="C14" s="550" t="s">
        <v>299</v>
      </c>
      <c r="D14" s="550"/>
      <c r="E14" s="550"/>
      <c r="F14" s="550"/>
      <c r="G14" s="550"/>
      <c r="H14" s="550"/>
      <c r="I14" s="551"/>
      <c r="J14" s="92"/>
      <c r="K14" s="92"/>
      <c r="M14" s="91" t="s">
        <v>114</v>
      </c>
      <c r="N14" s="86"/>
    </row>
    <row r="15" spans="2:14" ht="30.75" customHeight="1" x14ac:dyDescent="0.15">
      <c r="B15" s="118" t="s">
        <v>247</v>
      </c>
      <c r="C15" s="550" t="s">
        <v>300</v>
      </c>
      <c r="D15" s="550"/>
      <c r="E15" s="550"/>
      <c r="F15" s="550"/>
      <c r="G15" s="550"/>
      <c r="H15" s="550"/>
      <c r="I15" s="551"/>
      <c r="J15" s="93"/>
      <c r="K15" s="93"/>
      <c r="M15" s="91" t="s">
        <v>118</v>
      </c>
      <c r="N15" s="86"/>
    </row>
    <row r="16" spans="2:14" ht="35.75" customHeight="1" x14ac:dyDescent="0.15">
      <c r="B16" s="118" t="s">
        <v>249</v>
      </c>
      <c r="C16" s="559" t="s">
        <v>301</v>
      </c>
      <c r="D16" s="559"/>
      <c r="E16" s="559"/>
      <c r="F16" s="559"/>
      <c r="G16" s="559"/>
      <c r="H16" s="559"/>
      <c r="I16" s="560"/>
      <c r="J16" s="94"/>
      <c r="K16" s="94"/>
      <c r="M16" s="91"/>
      <c r="N16" s="86"/>
    </row>
    <row r="17" spans="2:14" ht="30.75" customHeight="1" x14ac:dyDescent="0.15">
      <c r="B17" s="118" t="s">
        <v>251</v>
      </c>
      <c r="C17" s="552" t="s">
        <v>43</v>
      </c>
      <c r="D17" s="553"/>
      <c r="E17" s="553"/>
      <c r="F17" s="553"/>
      <c r="G17" s="553"/>
      <c r="H17" s="553"/>
      <c r="I17" s="554"/>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59" t="s">
        <v>302</v>
      </c>
      <c r="D19" s="559"/>
      <c r="E19" s="559"/>
      <c r="F19" s="559" t="s">
        <v>303</v>
      </c>
      <c r="G19" s="559"/>
      <c r="H19" s="559"/>
      <c r="I19" s="560"/>
      <c r="J19" s="94"/>
      <c r="K19" s="94"/>
      <c r="M19" s="91" t="s">
        <v>132</v>
      </c>
      <c r="N19" s="86"/>
    </row>
    <row r="20" spans="2:14" ht="39.75" customHeight="1" x14ac:dyDescent="0.15">
      <c r="B20" s="118" t="s">
        <v>258</v>
      </c>
      <c r="C20" s="561" t="s">
        <v>43</v>
      </c>
      <c r="D20" s="562"/>
      <c r="E20" s="563"/>
      <c r="F20" s="564" t="s">
        <v>43</v>
      </c>
      <c r="G20" s="564"/>
      <c r="H20" s="564"/>
      <c r="I20" s="565"/>
      <c r="J20" s="88"/>
      <c r="K20" s="88"/>
      <c r="M20" s="91"/>
      <c r="N20" s="86"/>
    </row>
    <row r="21" spans="2:14" ht="105" customHeight="1" x14ac:dyDescent="0.15">
      <c r="B21" s="118" t="s">
        <v>259</v>
      </c>
      <c r="C21" s="623" t="s">
        <v>304</v>
      </c>
      <c r="D21" s="624"/>
      <c r="E21" s="625"/>
      <c r="F21" s="626" t="s">
        <v>305</v>
      </c>
      <c r="G21" s="618"/>
      <c r="H21" s="618"/>
      <c r="I21" s="627"/>
      <c r="J21" s="93"/>
      <c r="K21" s="93"/>
      <c r="M21" s="97"/>
      <c r="N21" s="86"/>
    </row>
    <row r="22" spans="2:14" ht="23.25" customHeight="1" x14ac:dyDescent="0.15">
      <c r="B22" s="118" t="s">
        <v>262</v>
      </c>
      <c r="C22" s="617">
        <v>44562</v>
      </c>
      <c r="D22" s="628"/>
      <c r="E22" s="629"/>
      <c r="F22" s="135" t="s">
        <v>263</v>
      </c>
      <c r="G22" s="227">
        <v>8.5000000000000006E-2</v>
      </c>
      <c r="H22" s="135" t="s">
        <v>264</v>
      </c>
      <c r="I22" s="137">
        <v>8.5000000000000006E-2</v>
      </c>
      <c r="J22" s="98"/>
      <c r="K22" s="98"/>
      <c r="M22" s="97"/>
    </row>
    <row r="23" spans="2:14" ht="27" customHeight="1" x14ac:dyDescent="0.15">
      <c r="B23" s="118" t="s">
        <v>265</v>
      </c>
      <c r="C23" s="617">
        <v>44926</v>
      </c>
      <c r="D23" s="618"/>
      <c r="E23" s="619"/>
      <c r="F23" s="135" t="s">
        <v>266</v>
      </c>
      <c r="G23" s="620">
        <v>0.3</v>
      </c>
      <c r="H23" s="621"/>
      <c r="I23" s="622"/>
      <c r="J23" s="99"/>
      <c r="K23" s="99"/>
      <c r="M23" s="97"/>
    </row>
    <row r="24" spans="2:14" ht="30.75" customHeight="1" x14ac:dyDescent="0.15">
      <c r="B24" s="222" t="s">
        <v>267</v>
      </c>
      <c r="C24" s="593" t="s">
        <v>268</v>
      </c>
      <c r="D24" s="594"/>
      <c r="E24" s="595"/>
      <c r="F24" s="223" t="s">
        <v>269</v>
      </c>
      <c r="G24" s="524" t="s">
        <v>46</v>
      </c>
      <c r="H24" s="525"/>
      <c r="I24" s="526"/>
      <c r="J24" s="96"/>
      <c r="K24" s="96"/>
      <c r="M24" s="97"/>
    </row>
    <row r="25" spans="2:14" ht="22.5" customHeight="1" x14ac:dyDescent="0.15">
      <c r="B25" s="512" t="s">
        <v>270</v>
      </c>
      <c r="C25" s="513"/>
      <c r="D25" s="513"/>
      <c r="E25" s="513"/>
      <c r="F25" s="513"/>
      <c r="G25" s="513"/>
      <c r="H25" s="513"/>
      <c r="I25" s="514"/>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28">
        <f>8.33%*$G$23</f>
        <v>2.4989999999999998E-2</v>
      </c>
      <c r="D27" s="228">
        <f>8.33%*$G$23</f>
        <v>2.4989999999999998E-2</v>
      </c>
      <c r="E27" s="131">
        <f>D27/C27</f>
        <v>1</v>
      </c>
      <c r="F27" s="596">
        <f>SUM(C27:C38)</f>
        <v>0.29988000000000004</v>
      </c>
      <c r="G27" s="596">
        <f>SUM(D27:D38)</f>
        <v>0.29988000000000004</v>
      </c>
      <c r="H27" s="229">
        <f>+(D27*100%)/$G$23</f>
        <v>8.3299999999999999E-2</v>
      </c>
      <c r="I27" s="599">
        <f>G27+I22</f>
        <v>0.38488000000000006</v>
      </c>
      <c r="J27" s="94"/>
      <c r="K27" s="94"/>
      <c r="M27" s="97"/>
    </row>
    <row r="28" spans="2:14" ht="15.5" customHeight="1" x14ac:dyDescent="0.15">
      <c r="B28" s="100" t="s">
        <v>158</v>
      </c>
      <c r="C28" s="228">
        <f t="shared" ref="C28:D38" si="0">8.33%*$G$23</f>
        <v>2.4989999999999998E-2</v>
      </c>
      <c r="D28" s="228">
        <f>8.33%*$G$23</f>
        <v>2.4989999999999998E-2</v>
      </c>
      <c r="E28" s="131">
        <f t="shared" ref="E28:E31" si="1">D28/C28</f>
        <v>1</v>
      </c>
      <c r="F28" s="597"/>
      <c r="G28" s="597"/>
      <c r="H28" s="229">
        <f>+IF(D28="","",((D28*100%)/$G$23)+H27)</f>
        <v>0.1666</v>
      </c>
      <c r="I28" s="600"/>
      <c r="J28" s="94"/>
      <c r="K28" s="94"/>
      <c r="M28" s="97"/>
    </row>
    <row r="29" spans="2:14" ht="15.5" customHeight="1" x14ac:dyDescent="0.15">
      <c r="B29" s="100" t="s">
        <v>159</v>
      </c>
      <c r="C29" s="228">
        <f t="shared" si="0"/>
        <v>2.4989999999999998E-2</v>
      </c>
      <c r="D29" s="228">
        <f>8.33%*$G$23</f>
        <v>2.4989999999999998E-2</v>
      </c>
      <c r="E29" s="131">
        <f t="shared" si="1"/>
        <v>1</v>
      </c>
      <c r="F29" s="597"/>
      <c r="G29" s="597"/>
      <c r="H29" s="229">
        <f t="shared" ref="H29:H38" si="2">+IF(D29="","",((D29*100%)/$G$23)+H28)</f>
        <v>0.24990000000000001</v>
      </c>
      <c r="I29" s="600"/>
      <c r="J29" s="94"/>
      <c r="K29" s="94"/>
      <c r="M29" s="97"/>
    </row>
    <row r="30" spans="2:14" ht="15.5" customHeight="1" x14ac:dyDescent="0.15">
      <c r="B30" s="100" t="s">
        <v>160</v>
      </c>
      <c r="C30" s="228">
        <f t="shared" si="0"/>
        <v>2.4989999999999998E-2</v>
      </c>
      <c r="D30" s="228">
        <f>8.33%*$G$23</f>
        <v>2.4989999999999998E-2</v>
      </c>
      <c r="E30" s="131">
        <f t="shared" si="1"/>
        <v>1</v>
      </c>
      <c r="F30" s="597"/>
      <c r="G30" s="597"/>
      <c r="H30" s="229">
        <f t="shared" si="2"/>
        <v>0.3332</v>
      </c>
      <c r="I30" s="600"/>
      <c r="J30" s="94"/>
      <c r="K30" s="94"/>
      <c r="M30" s="97"/>
    </row>
    <row r="31" spans="2:14" ht="15.5" customHeight="1" x14ac:dyDescent="0.15">
      <c r="B31" s="100" t="s">
        <v>161</v>
      </c>
      <c r="C31" s="228">
        <f t="shared" si="0"/>
        <v>2.4989999999999998E-2</v>
      </c>
      <c r="D31" s="228">
        <f>8.33%*$G$23</f>
        <v>2.4989999999999998E-2</v>
      </c>
      <c r="E31" s="131">
        <f t="shared" si="1"/>
        <v>1</v>
      </c>
      <c r="F31" s="597"/>
      <c r="G31" s="597"/>
      <c r="H31" s="229">
        <f t="shared" si="2"/>
        <v>0.41649999999999998</v>
      </c>
      <c r="I31" s="600"/>
      <c r="J31" s="94"/>
      <c r="K31" s="94"/>
      <c r="M31" s="97"/>
    </row>
    <row r="32" spans="2:14" ht="15.5" customHeight="1" x14ac:dyDescent="0.15">
      <c r="B32" s="100" t="s">
        <v>162</v>
      </c>
      <c r="C32" s="228">
        <f t="shared" si="0"/>
        <v>2.4989999999999998E-2</v>
      </c>
      <c r="D32" s="228">
        <f t="shared" si="0"/>
        <v>2.4989999999999998E-2</v>
      </c>
      <c r="E32" s="131">
        <f>D32/C32</f>
        <v>1</v>
      </c>
      <c r="F32" s="597"/>
      <c r="G32" s="597"/>
      <c r="H32" s="229">
        <f t="shared" si="2"/>
        <v>0.49979999999999997</v>
      </c>
      <c r="I32" s="600"/>
      <c r="J32" s="94"/>
      <c r="K32" s="94"/>
      <c r="M32" s="97"/>
    </row>
    <row r="33" spans="2:11" ht="19.5" customHeight="1" x14ac:dyDescent="0.15">
      <c r="B33" s="100" t="s">
        <v>163</v>
      </c>
      <c r="C33" s="228">
        <f t="shared" si="0"/>
        <v>2.4989999999999998E-2</v>
      </c>
      <c r="D33" s="228">
        <f t="shared" si="0"/>
        <v>2.4989999999999998E-2</v>
      </c>
      <c r="E33" s="131">
        <f t="shared" ref="E33:E38" si="3">D33/C33</f>
        <v>1</v>
      </c>
      <c r="F33" s="597"/>
      <c r="G33" s="597"/>
      <c r="H33" s="229">
        <f t="shared" si="2"/>
        <v>0.58309999999999995</v>
      </c>
      <c r="I33" s="600"/>
      <c r="J33" s="102"/>
      <c r="K33" s="102"/>
    </row>
    <row r="34" spans="2:11" ht="19.5" customHeight="1" x14ac:dyDescent="0.15">
      <c r="B34" s="100" t="s">
        <v>164</v>
      </c>
      <c r="C34" s="228">
        <f t="shared" si="0"/>
        <v>2.4989999999999998E-2</v>
      </c>
      <c r="D34" s="228">
        <f t="shared" si="0"/>
        <v>2.4989999999999998E-2</v>
      </c>
      <c r="E34" s="131">
        <f t="shared" si="3"/>
        <v>1</v>
      </c>
      <c r="F34" s="597"/>
      <c r="G34" s="597"/>
      <c r="H34" s="229">
        <f t="shared" si="2"/>
        <v>0.66639999999999999</v>
      </c>
      <c r="I34" s="600"/>
      <c r="J34" s="102"/>
      <c r="K34" s="102"/>
    </row>
    <row r="35" spans="2:11" ht="19.5" customHeight="1" x14ac:dyDescent="0.15">
      <c r="B35" s="100" t="s">
        <v>165</v>
      </c>
      <c r="C35" s="228">
        <f t="shared" si="0"/>
        <v>2.4989999999999998E-2</v>
      </c>
      <c r="D35" s="228">
        <f t="shared" si="0"/>
        <v>2.4989999999999998E-2</v>
      </c>
      <c r="E35" s="131">
        <f t="shared" si="3"/>
        <v>1</v>
      </c>
      <c r="F35" s="597"/>
      <c r="G35" s="597"/>
      <c r="H35" s="229">
        <f t="shared" si="2"/>
        <v>0.74970000000000003</v>
      </c>
      <c r="I35" s="600"/>
      <c r="J35" s="102"/>
      <c r="K35" s="102"/>
    </row>
    <row r="36" spans="2:11" ht="19.5" customHeight="1" x14ac:dyDescent="0.15">
      <c r="B36" s="100" t="s">
        <v>166</v>
      </c>
      <c r="C36" s="228">
        <f t="shared" si="0"/>
        <v>2.4989999999999998E-2</v>
      </c>
      <c r="D36" s="228">
        <f>+C36</f>
        <v>2.4989999999999998E-2</v>
      </c>
      <c r="E36" s="131">
        <f t="shared" si="3"/>
        <v>1</v>
      </c>
      <c r="F36" s="597"/>
      <c r="G36" s="597"/>
      <c r="H36" s="229">
        <f t="shared" si="2"/>
        <v>0.83300000000000007</v>
      </c>
      <c r="I36" s="600"/>
      <c r="J36" s="102"/>
      <c r="K36" s="102"/>
    </row>
    <row r="37" spans="2:11" ht="19.5" customHeight="1" x14ac:dyDescent="0.15">
      <c r="B37" s="100" t="s">
        <v>167</v>
      </c>
      <c r="C37" s="228">
        <f t="shared" si="0"/>
        <v>2.4989999999999998E-2</v>
      </c>
      <c r="D37" s="289">
        <f>D36</f>
        <v>2.4989999999999998E-2</v>
      </c>
      <c r="E37" s="131">
        <f t="shared" si="3"/>
        <v>1</v>
      </c>
      <c r="F37" s="597"/>
      <c r="G37" s="597"/>
      <c r="H37" s="229">
        <f t="shared" si="2"/>
        <v>0.91630000000000011</v>
      </c>
      <c r="I37" s="600"/>
      <c r="J37" s="102"/>
      <c r="K37" s="102"/>
    </row>
    <row r="38" spans="2:11" ht="19.5" customHeight="1" x14ac:dyDescent="0.15">
      <c r="B38" s="100" t="s">
        <v>168</v>
      </c>
      <c r="C38" s="228">
        <f t="shared" si="0"/>
        <v>2.4989999999999998E-2</v>
      </c>
      <c r="D38" s="289">
        <f>D37</f>
        <v>2.4989999999999998E-2</v>
      </c>
      <c r="E38" s="131">
        <f t="shared" si="3"/>
        <v>1</v>
      </c>
      <c r="F38" s="598"/>
      <c r="G38" s="598"/>
      <c r="H38" s="229">
        <f t="shared" si="2"/>
        <v>0.99960000000000016</v>
      </c>
      <c r="I38" s="601"/>
      <c r="J38" s="102"/>
      <c r="K38" s="102"/>
    </row>
    <row r="39" spans="2:11" ht="89.25" customHeight="1" x14ac:dyDescent="0.15">
      <c r="B39" s="119" t="s">
        <v>279</v>
      </c>
      <c r="C39" s="501" t="s">
        <v>306</v>
      </c>
      <c r="D39" s="502"/>
      <c r="E39" s="502"/>
      <c r="F39" s="502"/>
      <c r="G39" s="502"/>
      <c r="H39" s="502"/>
      <c r="I39" s="503"/>
      <c r="J39" s="103"/>
      <c r="K39" s="103"/>
    </row>
    <row r="40" spans="2:11" ht="34.5" customHeight="1" x14ac:dyDescent="0.15">
      <c r="B40" s="530"/>
      <c r="C40" s="531"/>
      <c r="D40" s="531"/>
      <c r="E40" s="531"/>
      <c r="F40" s="531"/>
      <c r="G40" s="531"/>
      <c r="H40" s="531"/>
      <c r="I40" s="532"/>
      <c r="J40" s="85"/>
      <c r="K40" s="85"/>
    </row>
    <row r="41" spans="2:11" ht="45.5" customHeight="1" x14ac:dyDescent="0.15">
      <c r="B41" s="533"/>
      <c r="C41" s="534"/>
      <c r="D41" s="534"/>
      <c r="E41" s="534"/>
      <c r="F41" s="534"/>
      <c r="G41" s="534"/>
      <c r="H41" s="534"/>
      <c r="I41" s="535"/>
      <c r="J41" s="103"/>
      <c r="K41" s="103"/>
    </row>
    <row r="42" spans="2:11" ht="45.5" customHeight="1" x14ac:dyDescent="0.15">
      <c r="B42" s="533"/>
      <c r="C42" s="534"/>
      <c r="D42" s="534"/>
      <c r="E42" s="534"/>
      <c r="F42" s="534"/>
      <c r="G42" s="534"/>
      <c r="H42" s="534"/>
      <c r="I42" s="535"/>
      <c r="J42" s="103"/>
      <c r="K42" s="103"/>
    </row>
    <row r="43" spans="2:11" ht="45.5" customHeight="1" x14ac:dyDescent="0.15">
      <c r="B43" s="533"/>
      <c r="C43" s="534"/>
      <c r="D43" s="534"/>
      <c r="E43" s="534"/>
      <c r="F43" s="534"/>
      <c r="G43" s="534"/>
      <c r="H43" s="534"/>
      <c r="I43" s="535"/>
      <c r="J43" s="103"/>
      <c r="K43" s="103"/>
    </row>
    <row r="44" spans="2:11" ht="45.5" customHeight="1" x14ac:dyDescent="0.15">
      <c r="B44" s="536"/>
      <c r="C44" s="537"/>
      <c r="D44" s="537"/>
      <c r="E44" s="537"/>
      <c r="F44" s="537"/>
      <c r="G44" s="537"/>
      <c r="H44" s="537"/>
      <c r="I44" s="538"/>
      <c r="J44" s="84"/>
      <c r="K44" s="84"/>
    </row>
    <row r="45" spans="2:11" ht="29.25" customHeight="1" x14ac:dyDescent="0.15">
      <c r="B45" s="605" t="s">
        <v>280</v>
      </c>
      <c r="C45" s="608" t="s">
        <v>306</v>
      </c>
      <c r="D45" s="609"/>
      <c r="E45" s="609"/>
      <c r="F45" s="610"/>
      <c r="G45" s="143"/>
      <c r="H45" s="144" t="s">
        <v>148</v>
      </c>
      <c r="I45" s="145" t="s">
        <v>307</v>
      </c>
      <c r="J45" s="104"/>
      <c r="K45" s="104"/>
    </row>
    <row r="46" spans="2:11" ht="29.25" customHeight="1" x14ac:dyDescent="0.15">
      <c r="B46" s="606"/>
      <c r="C46" s="611"/>
      <c r="D46" s="612"/>
      <c r="E46" s="612"/>
      <c r="F46" s="613"/>
      <c r="G46" s="143" t="s">
        <v>308</v>
      </c>
      <c r="H46" s="277">
        <v>239</v>
      </c>
      <c r="I46" s="277">
        <v>3333</v>
      </c>
      <c r="J46" s="104"/>
      <c r="K46" s="104"/>
    </row>
    <row r="47" spans="2:11" ht="29.25" customHeight="1" x14ac:dyDescent="0.15">
      <c r="B47" s="606"/>
      <c r="C47" s="611"/>
      <c r="D47" s="612"/>
      <c r="E47" s="612"/>
      <c r="F47" s="613"/>
      <c r="G47" s="143" t="s">
        <v>309</v>
      </c>
      <c r="H47" s="277">
        <v>48</v>
      </c>
      <c r="I47" s="277">
        <v>810</v>
      </c>
      <c r="J47" s="104"/>
      <c r="K47" s="104"/>
    </row>
    <row r="48" spans="2:11" ht="29.25" customHeight="1" x14ac:dyDescent="0.15">
      <c r="B48" s="606"/>
      <c r="C48" s="611"/>
      <c r="D48" s="612"/>
      <c r="E48" s="612"/>
      <c r="F48" s="613"/>
      <c r="G48" s="143" t="s">
        <v>310</v>
      </c>
      <c r="H48" s="277">
        <v>6</v>
      </c>
      <c r="I48" s="277">
        <v>198</v>
      </c>
      <c r="J48" s="104"/>
      <c r="K48" s="104"/>
    </row>
    <row r="49" spans="2:11" ht="29.25" customHeight="1" x14ac:dyDescent="0.15">
      <c r="B49" s="606"/>
      <c r="C49" s="611"/>
      <c r="D49" s="612"/>
      <c r="E49" s="612"/>
      <c r="F49" s="613"/>
      <c r="G49" s="143" t="s">
        <v>311</v>
      </c>
      <c r="H49" s="277">
        <v>134</v>
      </c>
      <c r="I49" s="277">
        <v>2187</v>
      </c>
      <c r="J49" s="104"/>
      <c r="K49" s="104"/>
    </row>
    <row r="50" spans="2:11" ht="29.25" customHeight="1" x14ac:dyDescent="0.15">
      <c r="B50" s="606"/>
      <c r="C50" s="611"/>
      <c r="D50" s="612"/>
      <c r="E50" s="612"/>
      <c r="F50" s="613"/>
      <c r="G50" s="143" t="s">
        <v>312</v>
      </c>
      <c r="H50" s="277">
        <v>252</v>
      </c>
      <c r="I50" s="277">
        <v>3736</v>
      </c>
      <c r="J50" s="104"/>
      <c r="K50" s="104"/>
    </row>
    <row r="51" spans="2:11" ht="29.25" customHeight="1" x14ac:dyDescent="0.15">
      <c r="B51" s="606"/>
      <c r="C51" s="611"/>
      <c r="D51" s="612"/>
      <c r="E51" s="612"/>
      <c r="F51" s="613"/>
      <c r="G51" s="143" t="s">
        <v>313</v>
      </c>
      <c r="H51" s="277">
        <v>440</v>
      </c>
      <c r="I51" s="277">
        <v>2725</v>
      </c>
      <c r="J51" s="104"/>
      <c r="K51" s="104"/>
    </row>
    <row r="52" spans="2:11" ht="29.25" customHeight="1" x14ac:dyDescent="0.15">
      <c r="B52" s="607"/>
      <c r="C52" s="614"/>
      <c r="D52" s="615"/>
      <c r="E52" s="615"/>
      <c r="F52" s="616"/>
      <c r="G52" s="143" t="s">
        <v>314</v>
      </c>
      <c r="H52" s="288">
        <v>3518788</v>
      </c>
      <c r="I52" s="277">
        <v>49653270</v>
      </c>
      <c r="J52" s="104"/>
      <c r="K52" s="104"/>
    </row>
    <row r="53" spans="2:11" ht="46.5" customHeight="1" x14ac:dyDescent="0.15">
      <c r="B53" s="118" t="s">
        <v>281</v>
      </c>
      <c r="C53" s="515" t="s">
        <v>46</v>
      </c>
      <c r="D53" s="516"/>
      <c r="E53" s="516"/>
      <c r="F53" s="516"/>
      <c r="G53" s="516"/>
      <c r="H53" s="516"/>
      <c r="I53" s="517"/>
      <c r="J53" s="104"/>
      <c r="K53" s="104"/>
    </row>
    <row r="54" spans="2:11" ht="93.75" customHeight="1" x14ac:dyDescent="0.15">
      <c r="B54" s="120" t="s">
        <v>282</v>
      </c>
      <c r="C54" s="602" t="s">
        <v>315</v>
      </c>
      <c r="D54" s="603"/>
      <c r="E54" s="603"/>
      <c r="F54" s="603"/>
      <c r="G54" s="603"/>
      <c r="H54" s="603"/>
      <c r="I54" s="604"/>
      <c r="J54" s="104"/>
      <c r="K54" s="104"/>
    </row>
    <row r="55" spans="2:11" ht="22.5" customHeight="1" x14ac:dyDescent="0.15">
      <c r="B55" s="512" t="s">
        <v>283</v>
      </c>
      <c r="C55" s="513"/>
      <c r="D55" s="513"/>
      <c r="E55" s="513"/>
      <c r="F55" s="513"/>
      <c r="G55" s="513"/>
      <c r="H55" s="513"/>
      <c r="I55" s="514"/>
      <c r="J55" s="104"/>
      <c r="K55" s="104"/>
    </row>
    <row r="56" spans="2:11" ht="22.5" customHeight="1" x14ac:dyDescent="0.15">
      <c r="B56" s="508" t="s">
        <v>284</v>
      </c>
      <c r="C56" s="141" t="s">
        <v>285</v>
      </c>
      <c r="D56" s="510" t="s">
        <v>286</v>
      </c>
      <c r="E56" s="510"/>
      <c r="F56" s="510"/>
      <c r="G56" s="510" t="s">
        <v>287</v>
      </c>
      <c r="H56" s="510"/>
      <c r="I56" s="511"/>
      <c r="J56" s="105"/>
      <c r="K56" s="105"/>
    </row>
    <row r="57" spans="2:11" ht="30.75" customHeight="1" x14ac:dyDescent="0.15">
      <c r="B57" s="509"/>
      <c r="C57" s="142"/>
      <c r="D57" s="591"/>
      <c r="E57" s="591"/>
      <c r="F57" s="591"/>
      <c r="G57" s="591"/>
      <c r="H57" s="591"/>
      <c r="I57" s="592"/>
      <c r="J57" s="105"/>
      <c r="K57" s="105"/>
    </row>
    <row r="58" spans="2:11" ht="32.25" customHeight="1" x14ac:dyDescent="0.15">
      <c r="B58" s="121" t="s">
        <v>288</v>
      </c>
      <c r="C58" s="591" t="s">
        <v>316</v>
      </c>
      <c r="D58" s="591"/>
      <c r="E58" s="591"/>
      <c r="F58" s="591"/>
      <c r="G58" s="591"/>
      <c r="H58" s="591"/>
      <c r="I58" s="592"/>
      <c r="J58" s="106"/>
      <c r="K58" s="106"/>
    </row>
    <row r="59" spans="2:11" ht="28.5" customHeight="1" x14ac:dyDescent="0.15">
      <c r="B59" s="122" t="s">
        <v>290</v>
      </c>
      <c r="C59" s="591" t="s">
        <v>316</v>
      </c>
      <c r="D59" s="591"/>
      <c r="E59" s="591"/>
      <c r="F59" s="591"/>
      <c r="G59" s="591"/>
      <c r="H59" s="591"/>
      <c r="I59" s="592"/>
      <c r="J59" s="106"/>
      <c r="K59" s="106"/>
    </row>
    <row r="60" spans="2:11" ht="30" customHeight="1" x14ac:dyDescent="0.15">
      <c r="B60" s="120" t="s">
        <v>291</v>
      </c>
      <c r="C60" s="591" t="s">
        <v>316</v>
      </c>
      <c r="D60" s="591"/>
      <c r="E60" s="591"/>
      <c r="F60" s="591"/>
      <c r="G60" s="591"/>
      <c r="H60" s="591"/>
      <c r="I60" s="592"/>
      <c r="J60" s="107"/>
      <c r="K60" s="107"/>
    </row>
    <row r="61" spans="2:11" ht="31.5" customHeight="1" thickBot="1" x14ac:dyDescent="0.2">
      <c r="B61" s="116" t="s">
        <v>293</v>
      </c>
      <c r="C61" s="591" t="s">
        <v>316</v>
      </c>
      <c r="D61" s="591"/>
      <c r="E61" s="591"/>
      <c r="F61" s="591"/>
      <c r="G61" s="591"/>
      <c r="H61" s="591"/>
      <c r="I61" s="592"/>
      <c r="J61" s="108"/>
      <c r="K61" s="108"/>
    </row>
    <row r="62" spans="2:11" x14ac:dyDescent="0.15">
      <c r="B62" s="109"/>
      <c r="C62" s="110"/>
      <c r="D62" s="110"/>
      <c r="E62" s="111"/>
      <c r="F62" s="111"/>
      <c r="G62" s="117"/>
      <c r="H62" s="113"/>
      <c r="I62" s="110"/>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sheetProtection algorithmName="SHA-512" hashValue="ulMVLlTzXRj8uAvDxur5LMWpGnkIuUcJ1s/AJRqY39c8GjT3ph2bOHkDs0BSyz8AGNmCwhIr37REdtaXrBtO4w==" saltValue="/8uttECoof7iOvbuXr0kSg=="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14" zoomScale="85" zoomScaleNormal="85" zoomScaleSheetLayoutView="85" workbookViewId="0">
      <selection activeCell="K49" sqref="J49:K59"/>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11" width="22.5" style="83" customWidth="1"/>
    <col min="12" max="24" width="11.5" style="81"/>
    <col min="25" max="16384" width="11.5" style="83"/>
  </cols>
  <sheetData>
    <row r="1" spans="2:14" ht="37.5" customHeight="1" x14ac:dyDescent="0.15">
      <c r="B1" s="582"/>
      <c r="C1" s="585" t="s">
        <v>1</v>
      </c>
      <c r="D1" s="585"/>
      <c r="E1" s="585"/>
      <c r="F1" s="585"/>
      <c r="G1" s="585"/>
      <c r="H1" s="585"/>
      <c r="I1" s="586"/>
      <c r="J1" s="80"/>
      <c r="K1" s="80"/>
      <c r="M1" s="82" t="s">
        <v>67</v>
      </c>
    </row>
    <row r="2" spans="2:14" ht="37.5" customHeight="1" x14ac:dyDescent="0.15">
      <c r="B2" s="583"/>
      <c r="C2" s="663" t="s">
        <v>218</v>
      </c>
      <c r="D2" s="663"/>
      <c r="E2" s="663"/>
      <c r="F2" s="663"/>
      <c r="G2" s="663"/>
      <c r="H2" s="663"/>
      <c r="I2" s="587"/>
      <c r="J2" s="80"/>
      <c r="K2" s="80"/>
      <c r="M2" s="82" t="s">
        <v>68</v>
      </c>
    </row>
    <row r="3" spans="2:14" ht="37.5" customHeight="1" x14ac:dyDescent="0.15">
      <c r="B3" s="583"/>
      <c r="C3" s="663" t="s">
        <v>219</v>
      </c>
      <c r="D3" s="663"/>
      <c r="E3" s="663"/>
      <c r="F3" s="663" t="s">
        <v>220</v>
      </c>
      <c r="G3" s="663"/>
      <c r="H3" s="663"/>
      <c r="I3" s="587"/>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t="s">
        <v>77</v>
      </c>
    </row>
    <row r="6" spans="2:14" ht="30.75" customHeight="1" x14ac:dyDescent="0.15">
      <c r="B6" s="118" t="s">
        <v>223</v>
      </c>
      <c r="C6" s="169">
        <v>3</v>
      </c>
      <c r="D6" s="581" t="s">
        <v>224</v>
      </c>
      <c r="E6" s="581"/>
      <c r="F6" s="559" t="s">
        <v>317</v>
      </c>
      <c r="G6" s="559"/>
      <c r="H6" s="559"/>
      <c r="I6" s="560"/>
      <c r="J6" s="87"/>
      <c r="K6" s="87"/>
      <c r="M6" s="82" t="s">
        <v>81</v>
      </c>
      <c r="N6" s="86" t="s">
        <v>82</v>
      </c>
    </row>
    <row r="7" spans="2:14" ht="30.75" customHeight="1" x14ac:dyDescent="0.15">
      <c r="B7" s="118" t="s">
        <v>226</v>
      </c>
      <c r="C7" s="169" t="s">
        <v>84</v>
      </c>
      <c r="D7" s="581" t="s">
        <v>227</v>
      </c>
      <c r="E7" s="581"/>
      <c r="F7" s="559" t="s">
        <v>318</v>
      </c>
      <c r="G7" s="559"/>
      <c r="H7" s="135" t="s">
        <v>229</v>
      </c>
      <c r="I7" s="170" t="s">
        <v>84</v>
      </c>
      <c r="J7" s="88"/>
      <c r="K7" s="88"/>
      <c r="M7" s="82" t="s">
        <v>88</v>
      </c>
      <c r="N7" s="86" t="s">
        <v>89</v>
      </c>
    </row>
    <row r="8" spans="2:14" ht="30.75" customHeight="1" x14ac:dyDescent="0.15">
      <c r="B8" s="118" t="s">
        <v>230</v>
      </c>
      <c r="C8" s="559" t="s">
        <v>231</v>
      </c>
      <c r="D8" s="559"/>
      <c r="E8" s="559"/>
      <c r="F8" s="559"/>
      <c r="G8" s="135" t="s">
        <v>232</v>
      </c>
      <c r="H8" s="571">
        <v>7550</v>
      </c>
      <c r="I8" s="572"/>
      <c r="J8" s="89"/>
      <c r="K8" s="89"/>
      <c r="M8" s="82" t="s">
        <v>93</v>
      </c>
      <c r="N8" s="86" t="s">
        <v>44</v>
      </c>
    </row>
    <row r="9" spans="2:14" ht="30.75" customHeight="1" x14ac:dyDescent="0.15">
      <c r="B9" s="118" t="s">
        <v>68</v>
      </c>
      <c r="C9" s="659" t="s">
        <v>93</v>
      </c>
      <c r="D9" s="659"/>
      <c r="E9" s="659"/>
      <c r="F9" s="659"/>
      <c r="G9" s="135" t="s">
        <v>233</v>
      </c>
      <c r="H9" s="574" t="s">
        <v>319</v>
      </c>
      <c r="I9" s="575"/>
      <c r="J9" s="90"/>
      <c r="K9" s="90"/>
      <c r="M9" s="91" t="s">
        <v>97</v>
      </c>
    </row>
    <row r="10" spans="2:14" ht="60.75" customHeight="1" x14ac:dyDescent="0.15">
      <c r="B10" s="118" t="s">
        <v>235</v>
      </c>
      <c r="C10" s="559" t="s">
        <v>320</v>
      </c>
      <c r="D10" s="559"/>
      <c r="E10" s="559"/>
      <c r="F10" s="559"/>
      <c r="G10" s="559"/>
      <c r="H10" s="559"/>
      <c r="I10" s="560"/>
      <c r="J10" s="92"/>
      <c r="K10" s="92"/>
      <c r="M10" s="91"/>
    </row>
    <row r="11" spans="2:14" ht="30.75" customHeight="1" x14ac:dyDescent="0.15">
      <c r="B11" s="118" t="s">
        <v>237</v>
      </c>
      <c r="C11" s="559" t="s">
        <v>238</v>
      </c>
      <c r="D11" s="559"/>
      <c r="E11" s="559"/>
      <c r="F11" s="559"/>
      <c r="G11" s="559"/>
      <c r="H11" s="559"/>
      <c r="I11" s="560"/>
      <c r="J11" s="88"/>
      <c r="K11" s="88"/>
      <c r="M11" s="91"/>
      <c r="N11" s="86" t="s">
        <v>102</v>
      </c>
    </row>
    <row r="12" spans="2:14" ht="30.75" customHeight="1" x14ac:dyDescent="0.15">
      <c r="B12" s="118" t="s">
        <v>239</v>
      </c>
      <c r="C12" s="550" t="s">
        <v>321</v>
      </c>
      <c r="D12" s="550"/>
      <c r="E12" s="550"/>
      <c r="F12" s="550"/>
      <c r="G12" s="135" t="s">
        <v>241</v>
      </c>
      <c r="H12" s="550" t="s">
        <v>106</v>
      </c>
      <c r="I12" s="551"/>
      <c r="J12" s="88"/>
      <c r="K12" s="88"/>
      <c r="M12" s="91" t="s">
        <v>107</v>
      </c>
      <c r="N12" s="86" t="s">
        <v>84</v>
      </c>
    </row>
    <row r="13" spans="2:14" ht="30.75" customHeight="1" x14ac:dyDescent="0.15">
      <c r="B13" s="118" t="s">
        <v>242</v>
      </c>
      <c r="C13" s="660" t="s">
        <v>322</v>
      </c>
      <c r="D13" s="660"/>
      <c r="E13" s="660"/>
      <c r="F13" s="660"/>
      <c r="G13" s="135" t="s">
        <v>244</v>
      </c>
      <c r="H13" s="559" t="s">
        <v>44</v>
      </c>
      <c r="I13" s="560"/>
      <c r="J13" s="88"/>
      <c r="K13" s="88"/>
      <c r="M13" s="91" t="s">
        <v>111</v>
      </c>
    </row>
    <row r="14" spans="2:14" ht="64.5" customHeight="1" x14ac:dyDescent="0.15">
      <c r="B14" s="118" t="s">
        <v>245</v>
      </c>
      <c r="C14" s="661" t="s">
        <v>323</v>
      </c>
      <c r="D14" s="661"/>
      <c r="E14" s="661"/>
      <c r="F14" s="661"/>
      <c r="G14" s="661"/>
      <c r="H14" s="661"/>
      <c r="I14" s="662"/>
      <c r="J14" s="92"/>
      <c r="K14" s="92"/>
      <c r="M14" s="91" t="s">
        <v>114</v>
      </c>
      <c r="N14" s="86"/>
    </row>
    <row r="15" spans="2:14" ht="30.75" customHeight="1" x14ac:dyDescent="0.15">
      <c r="B15" s="118" t="s">
        <v>247</v>
      </c>
      <c r="C15" s="550" t="s">
        <v>324</v>
      </c>
      <c r="D15" s="550"/>
      <c r="E15" s="550"/>
      <c r="F15" s="550"/>
      <c r="G15" s="550"/>
      <c r="H15" s="550"/>
      <c r="I15" s="551"/>
      <c r="J15" s="93"/>
      <c r="K15" s="93"/>
      <c r="M15" s="91" t="s">
        <v>118</v>
      </c>
      <c r="N15" s="86"/>
    </row>
    <row r="16" spans="2:14" ht="20.25" customHeight="1" x14ac:dyDescent="0.15">
      <c r="B16" s="118" t="s">
        <v>249</v>
      </c>
      <c r="C16" s="559" t="s">
        <v>325</v>
      </c>
      <c r="D16" s="559"/>
      <c r="E16" s="559"/>
      <c r="F16" s="559"/>
      <c r="G16" s="559"/>
      <c r="H16" s="559"/>
      <c r="I16" s="560"/>
      <c r="J16" s="94"/>
      <c r="K16" s="94"/>
      <c r="M16" s="91"/>
      <c r="N16" s="86"/>
    </row>
    <row r="17" spans="2:14" ht="30.75" customHeight="1" x14ac:dyDescent="0.15">
      <c r="B17" s="118" t="s">
        <v>251</v>
      </c>
      <c r="C17" s="559" t="s">
        <v>43</v>
      </c>
      <c r="D17" s="657"/>
      <c r="E17" s="657"/>
      <c r="F17" s="657"/>
      <c r="G17" s="657"/>
      <c r="H17" s="657"/>
      <c r="I17" s="658"/>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59" t="s">
        <v>326</v>
      </c>
      <c r="D19" s="559"/>
      <c r="E19" s="559"/>
      <c r="F19" s="559" t="s">
        <v>327</v>
      </c>
      <c r="G19" s="559"/>
      <c r="H19" s="559"/>
      <c r="I19" s="560"/>
      <c r="J19" s="94"/>
      <c r="K19" s="94"/>
      <c r="M19" s="91" t="s">
        <v>132</v>
      </c>
      <c r="N19" s="86"/>
    </row>
    <row r="20" spans="2:14" ht="39.75" customHeight="1" x14ac:dyDescent="0.15">
      <c r="B20" s="118" t="s">
        <v>258</v>
      </c>
      <c r="C20" s="524" t="s">
        <v>43</v>
      </c>
      <c r="D20" s="525"/>
      <c r="E20" s="546"/>
      <c r="F20" s="550" t="s">
        <v>43</v>
      </c>
      <c r="G20" s="550"/>
      <c r="H20" s="550"/>
      <c r="I20" s="551"/>
      <c r="J20" s="88"/>
      <c r="K20" s="88"/>
      <c r="M20" s="91"/>
      <c r="N20" s="86"/>
    </row>
    <row r="21" spans="2:14" ht="42" customHeight="1" x14ac:dyDescent="0.15">
      <c r="B21" s="118" t="s">
        <v>259</v>
      </c>
      <c r="C21" s="566" t="s">
        <v>328</v>
      </c>
      <c r="D21" s="567"/>
      <c r="E21" s="568"/>
      <c r="F21" s="524" t="s">
        <v>329</v>
      </c>
      <c r="G21" s="525"/>
      <c r="H21" s="525"/>
      <c r="I21" s="526"/>
      <c r="J21" s="93"/>
      <c r="K21" s="93"/>
      <c r="M21" s="97"/>
      <c r="N21" s="86"/>
    </row>
    <row r="22" spans="2:14" ht="23.25" customHeight="1" x14ac:dyDescent="0.15">
      <c r="B22" s="118" t="s">
        <v>262</v>
      </c>
      <c r="C22" s="545">
        <v>44197</v>
      </c>
      <c r="D22" s="569"/>
      <c r="E22" s="570"/>
      <c r="F22" s="135" t="s">
        <v>263</v>
      </c>
      <c r="G22" s="230">
        <v>0.4</v>
      </c>
      <c r="H22" s="135" t="s">
        <v>264</v>
      </c>
      <c r="I22" s="231">
        <v>0.5</v>
      </c>
      <c r="J22" s="98"/>
      <c r="K22" s="98"/>
      <c r="M22" s="97"/>
    </row>
    <row r="23" spans="2:14" ht="27" customHeight="1" x14ac:dyDescent="0.15">
      <c r="B23" s="118" t="s">
        <v>265</v>
      </c>
      <c r="C23" s="545">
        <v>44561</v>
      </c>
      <c r="D23" s="525"/>
      <c r="E23" s="546"/>
      <c r="F23" s="135" t="s">
        <v>266</v>
      </c>
      <c r="G23" s="654">
        <v>0.3</v>
      </c>
      <c r="H23" s="655"/>
      <c r="I23" s="656"/>
      <c r="J23" s="99"/>
      <c r="K23" s="99"/>
      <c r="M23" s="97"/>
    </row>
    <row r="24" spans="2:14" ht="30.75" customHeight="1" x14ac:dyDescent="0.15">
      <c r="B24" s="222" t="s">
        <v>267</v>
      </c>
      <c r="C24" s="648" t="s">
        <v>118</v>
      </c>
      <c r="D24" s="649"/>
      <c r="E24" s="650"/>
      <c r="F24" s="223" t="s">
        <v>269</v>
      </c>
      <c r="G24" s="524"/>
      <c r="H24" s="525"/>
      <c r="I24" s="526"/>
      <c r="J24" s="96"/>
      <c r="K24" s="96"/>
      <c r="M24" s="97"/>
    </row>
    <row r="25" spans="2:14" ht="22.5" customHeight="1" x14ac:dyDescent="0.15">
      <c r="B25" s="651" t="s">
        <v>270</v>
      </c>
      <c r="C25" s="652"/>
      <c r="D25" s="652"/>
      <c r="E25" s="652"/>
      <c r="F25" s="652"/>
      <c r="G25" s="652"/>
      <c r="H25" s="652"/>
      <c r="I25" s="653"/>
      <c r="J25" s="85"/>
      <c r="K25" s="85"/>
      <c r="M25" s="97"/>
    </row>
    <row r="26" spans="2:14" ht="43.5" customHeight="1" x14ac:dyDescent="0.15">
      <c r="B26" s="100" t="s">
        <v>148</v>
      </c>
      <c r="C26" s="138" t="s">
        <v>271</v>
      </c>
      <c r="D26" s="138" t="s">
        <v>272</v>
      </c>
      <c r="E26" s="139" t="s">
        <v>273</v>
      </c>
      <c r="F26" s="138" t="s">
        <v>274</v>
      </c>
      <c r="G26" s="138" t="s">
        <v>275</v>
      </c>
      <c r="H26" s="139" t="s">
        <v>330</v>
      </c>
      <c r="I26" s="140" t="s">
        <v>331</v>
      </c>
      <c r="J26" s="94"/>
      <c r="K26" s="94"/>
      <c r="M26" s="97"/>
    </row>
    <row r="27" spans="2:14" ht="19.5" customHeight="1" x14ac:dyDescent="0.15">
      <c r="B27" s="101" t="s">
        <v>157</v>
      </c>
      <c r="C27" s="168">
        <f>9.01%*$G$23</f>
        <v>2.7029999999999998E-2</v>
      </c>
      <c r="D27" s="168">
        <f>9.01%*$G$23</f>
        <v>2.7029999999999998E-2</v>
      </c>
      <c r="E27" s="131">
        <f>+D27/C27</f>
        <v>1</v>
      </c>
      <c r="F27" s="596">
        <f>SUM(C27:C38)</f>
        <v>0.30002999999999996</v>
      </c>
      <c r="G27" s="596">
        <f>SUM(D27:D38)</f>
        <v>0.30168</v>
      </c>
      <c r="H27" s="229">
        <f>+(D27*100%)/$G$23</f>
        <v>9.01E-2</v>
      </c>
      <c r="I27" s="599">
        <f>G27+I22</f>
        <v>0.80167999999999995</v>
      </c>
      <c r="J27" s="102"/>
      <c r="K27" s="102"/>
      <c r="M27" s="97"/>
    </row>
    <row r="28" spans="2:14" ht="19.5" customHeight="1" x14ac:dyDescent="0.15">
      <c r="B28" s="101" t="s">
        <v>158</v>
      </c>
      <c r="C28" s="168">
        <f>5.56%*$G$23</f>
        <v>1.6679999999999997E-2</v>
      </c>
      <c r="D28" s="168">
        <f>6.39%*$G$23</f>
        <v>1.917E-2</v>
      </c>
      <c r="E28" s="131">
        <f t="shared" ref="E28:E38" si="0">+D28/C28</f>
        <v>1.1492805755395685</v>
      </c>
      <c r="F28" s="597"/>
      <c r="G28" s="597"/>
      <c r="H28" s="229">
        <f>+IF(D28="","",((D28*100%)/$G$23)+H27)</f>
        <v>0.154</v>
      </c>
      <c r="I28" s="600"/>
      <c r="J28" s="102"/>
      <c r="K28" s="102"/>
      <c r="M28" s="97"/>
    </row>
    <row r="29" spans="2:14" ht="19.5" customHeight="1" x14ac:dyDescent="0.15">
      <c r="B29" s="101" t="s">
        <v>159</v>
      </c>
      <c r="C29" s="168">
        <f>5.66%*$G$23</f>
        <v>1.6980000000000002E-2</v>
      </c>
      <c r="D29" s="168">
        <f>5.66%*$G$23</f>
        <v>1.6980000000000002E-2</v>
      </c>
      <c r="E29" s="131">
        <f t="shared" si="0"/>
        <v>1</v>
      </c>
      <c r="F29" s="597"/>
      <c r="G29" s="597"/>
      <c r="H29" s="229">
        <f t="shared" ref="H29:H37" si="1">+IF(D29="","",((D29*100%)/$G$23)+H28)</f>
        <v>0.21060000000000001</v>
      </c>
      <c r="I29" s="600"/>
      <c r="J29" s="102"/>
      <c r="K29" s="102"/>
      <c r="M29" s="97"/>
    </row>
    <row r="30" spans="2:14" ht="19.5" customHeight="1" x14ac:dyDescent="0.15">
      <c r="B30" s="101" t="s">
        <v>160</v>
      </c>
      <c r="C30" s="168">
        <f>10.61%*G23</f>
        <v>3.1829999999999997E-2</v>
      </c>
      <c r="D30" s="168">
        <f>10.61%*$G$23</f>
        <v>3.1829999999999997E-2</v>
      </c>
      <c r="E30" s="131">
        <f t="shared" si="0"/>
        <v>1</v>
      </c>
      <c r="F30" s="597"/>
      <c r="G30" s="597"/>
      <c r="H30" s="229">
        <f t="shared" si="1"/>
        <v>0.31669999999999998</v>
      </c>
      <c r="I30" s="600"/>
      <c r="J30" s="102"/>
      <c r="K30" s="102"/>
    </row>
    <row r="31" spans="2:14" ht="19.5" customHeight="1" x14ac:dyDescent="0.15">
      <c r="B31" s="101" t="s">
        <v>161</v>
      </c>
      <c r="C31" s="168">
        <f>5.66%*$G$23</f>
        <v>1.6980000000000002E-2</v>
      </c>
      <c r="D31" s="168">
        <f>5.66%*$G$23</f>
        <v>1.6980000000000002E-2</v>
      </c>
      <c r="E31" s="131">
        <f t="shared" si="0"/>
        <v>1</v>
      </c>
      <c r="F31" s="597"/>
      <c r="G31" s="597"/>
      <c r="H31" s="229">
        <f t="shared" si="1"/>
        <v>0.37329999999999997</v>
      </c>
      <c r="I31" s="600"/>
      <c r="J31" s="102"/>
      <c r="K31" s="102"/>
    </row>
    <row r="32" spans="2:14" ht="19.5" customHeight="1" x14ac:dyDescent="0.15">
      <c r="B32" s="101" t="s">
        <v>162</v>
      </c>
      <c r="C32" s="168">
        <f>5.76%*$G$23</f>
        <v>1.728E-2</v>
      </c>
      <c r="D32" s="168">
        <f>5.76%*$G$23</f>
        <v>1.728E-2</v>
      </c>
      <c r="E32" s="131">
        <f t="shared" si="0"/>
        <v>1</v>
      </c>
      <c r="F32" s="597"/>
      <c r="G32" s="597"/>
      <c r="H32" s="229">
        <f t="shared" si="1"/>
        <v>0.43089999999999995</v>
      </c>
      <c r="I32" s="600"/>
      <c r="J32" s="102"/>
      <c r="K32" s="102"/>
    </row>
    <row r="33" spans="2:16" ht="19.5" customHeight="1" x14ac:dyDescent="0.15">
      <c r="B33" s="101" t="s">
        <v>163</v>
      </c>
      <c r="C33" s="168">
        <f>11.09%*G23</f>
        <v>3.3270000000000001E-2</v>
      </c>
      <c r="D33" s="168">
        <f>11.09%*$G$23</f>
        <v>3.3270000000000001E-2</v>
      </c>
      <c r="E33" s="131">
        <f t="shared" si="0"/>
        <v>1</v>
      </c>
      <c r="F33" s="597"/>
      <c r="G33" s="597"/>
      <c r="H33" s="229">
        <f t="shared" si="1"/>
        <v>0.54179999999999995</v>
      </c>
      <c r="I33" s="600"/>
      <c r="J33" s="102"/>
      <c r="K33" s="102"/>
    </row>
    <row r="34" spans="2:16" ht="19.5" customHeight="1" x14ac:dyDescent="0.15">
      <c r="B34" s="101" t="s">
        <v>164</v>
      </c>
      <c r="C34" s="168">
        <f>8.76%*G23</f>
        <v>2.6279999999999998E-2</v>
      </c>
      <c r="D34" s="168">
        <f>8.96%*$G$23</f>
        <v>2.6880000000000005E-2</v>
      </c>
      <c r="E34" s="131">
        <f t="shared" si="0"/>
        <v>1.0228310502283107</v>
      </c>
      <c r="F34" s="597"/>
      <c r="G34" s="597"/>
      <c r="H34" s="229">
        <f t="shared" si="1"/>
        <v>0.63139999999999996</v>
      </c>
      <c r="I34" s="600"/>
      <c r="J34" s="102"/>
      <c r="K34" s="102"/>
    </row>
    <row r="35" spans="2:16" ht="19.5" customHeight="1" x14ac:dyDescent="0.15">
      <c r="B35" s="101" t="s">
        <v>165</v>
      </c>
      <c r="C35" s="168">
        <f>7.36%*G23</f>
        <v>2.2079999999999999E-2</v>
      </c>
      <c r="D35" s="168">
        <f>8.35%*$G$23</f>
        <v>2.5049999999999996E-2</v>
      </c>
      <c r="E35" s="131">
        <f t="shared" si="0"/>
        <v>1.1345108695652173</v>
      </c>
      <c r="F35" s="597"/>
      <c r="G35" s="597"/>
      <c r="H35" s="229">
        <f t="shared" si="1"/>
        <v>0.71489999999999998</v>
      </c>
      <c r="I35" s="600"/>
      <c r="J35" s="102"/>
      <c r="K35" s="102"/>
    </row>
    <row r="36" spans="2:16" ht="19.5" customHeight="1" x14ac:dyDescent="0.15">
      <c r="B36" s="101" t="s">
        <v>166</v>
      </c>
      <c r="C36" s="168">
        <f>17.29%*G23</f>
        <v>5.1869999999999999E-2</v>
      </c>
      <c r="D36" s="168">
        <f>15.82%*$G$23</f>
        <v>4.7460000000000002E-2</v>
      </c>
      <c r="E36" s="131">
        <f t="shared" si="0"/>
        <v>0.91497975708502033</v>
      </c>
      <c r="F36" s="597"/>
      <c r="G36" s="597"/>
      <c r="H36" s="229">
        <f t="shared" si="1"/>
        <v>0.87309999999999999</v>
      </c>
      <c r="I36" s="600"/>
      <c r="J36" s="102"/>
      <c r="K36" s="102"/>
    </row>
    <row r="37" spans="2:16" ht="19.5" customHeight="1" x14ac:dyDescent="0.15">
      <c r="B37" s="101" t="s">
        <v>167</v>
      </c>
      <c r="C37" s="168">
        <f>7.9%*G23</f>
        <v>2.3699999999999999E-2</v>
      </c>
      <c r="D37" s="168">
        <v>2.3699999999999999E-2</v>
      </c>
      <c r="E37" s="131">
        <f t="shared" si="0"/>
        <v>1</v>
      </c>
      <c r="F37" s="597"/>
      <c r="G37" s="597"/>
      <c r="H37" s="229">
        <f t="shared" si="1"/>
        <v>0.95209999999999995</v>
      </c>
      <c r="I37" s="600"/>
      <c r="J37" s="102"/>
      <c r="K37" s="102"/>
    </row>
    <row r="38" spans="2:16" ht="19.5" customHeight="1" x14ac:dyDescent="0.15">
      <c r="B38" s="101" t="s">
        <v>168</v>
      </c>
      <c r="C38" s="168">
        <f>5.35%*G23</f>
        <v>1.6049999999999998E-2</v>
      </c>
      <c r="D38" s="168">
        <f>5.35%*G23</f>
        <v>1.6049999999999998E-2</v>
      </c>
      <c r="E38" s="131">
        <f t="shared" si="0"/>
        <v>1</v>
      </c>
      <c r="F38" s="598"/>
      <c r="G38" s="598"/>
      <c r="H38" s="229">
        <v>1</v>
      </c>
      <c r="I38" s="601"/>
      <c r="J38" s="102"/>
      <c r="K38" s="102"/>
    </row>
    <row r="39" spans="2:16" ht="231" customHeight="1" x14ac:dyDescent="0.15">
      <c r="B39" s="119" t="s">
        <v>279</v>
      </c>
      <c r="C39" s="631" t="s">
        <v>450</v>
      </c>
      <c r="D39" s="632"/>
      <c r="E39" s="632"/>
      <c r="F39" s="632"/>
      <c r="G39" s="632"/>
      <c r="H39" s="632"/>
      <c r="I39" s="633"/>
      <c r="J39" s="103"/>
      <c r="K39" s="103"/>
    </row>
    <row r="40" spans="2:16" ht="34.5" customHeight="1" x14ac:dyDescent="0.15">
      <c r="B40" s="530"/>
      <c r="C40" s="531"/>
      <c r="D40" s="531"/>
      <c r="E40" s="531"/>
      <c r="F40" s="531"/>
      <c r="G40" s="531"/>
      <c r="H40" s="531"/>
      <c r="I40" s="532"/>
      <c r="J40" s="85"/>
      <c r="K40" s="85"/>
    </row>
    <row r="41" spans="2:16" ht="34.5" customHeight="1" x14ac:dyDescent="0.15">
      <c r="B41" s="533"/>
      <c r="C41" s="534"/>
      <c r="D41" s="534"/>
      <c r="E41" s="534"/>
      <c r="F41" s="534"/>
      <c r="G41" s="534"/>
      <c r="H41" s="534"/>
      <c r="I41" s="535"/>
      <c r="J41" s="103"/>
      <c r="K41" s="103"/>
    </row>
    <row r="42" spans="2:16" ht="34.5" customHeight="1" x14ac:dyDescent="0.15">
      <c r="B42" s="533"/>
      <c r="C42" s="534"/>
      <c r="D42" s="534"/>
      <c r="E42" s="534"/>
      <c r="F42" s="534"/>
      <c r="G42" s="534"/>
      <c r="H42" s="534"/>
      <c r="I42" s="535"/>
      <c r="J42" s="103"/>
      <c r="K42" s="103"/>
    </row>
    <row r="43" spans="2:16" ht="34.5" customHeight="1" x14ac:dyDescent="0.15">
      <c r="B43" s="533"/>
      <c r="C43" s="534"/>
      <c r="D43" s="534"/>
      <c r="E43" s="534"/>
      <c r="F43" s="534"/>
      <c r="G43" s="534"/>
      <c r="H43" s="534"/>
      <c r="I43" s="535"/>
      <c r="J43" s="103"/>
      <c r="K43" s="103"/>
    </row>
    <row r="44" spans="2:16" ht="34.5" customHeight="1" x14ac:dyDescent="0.15">
      <c r="B44" s="536"/>
      <c r="C44" s="537"/>
      <c r="D44" s="537"/>
      <c r="E44" s="537"/>
      <c r="F44" s="537"/>
      <c r="G44" s="537"/>
      <c r="H44" s="537"/>
      <c r="I44" s="538"/>
      <c r="J44" s="84"/>
      <c r="K44" s="84"/>
    </row>
    <row r="45" spans="2:16" ht="255" customHeight="1" x14ac:dyDescent="0.15">
      <c r="B45" s="118" t="s">
        <v>280</v>
      </c>
      <c r="C45" s="634" t="s">
        <v>451</v>
      </c>
      <c r="D45" s="635"/>
      <c r="E45" s="635"/>
      <c r="F45" s="635"/>
      <c r="G45" s="635"/>
      <c r="H45" s="635"/>
      <c r="I45" s="636"/>
      <c r="J45" s="278"/>
      <c r="K45" s="280"/>
      <c r="L45" s="280"/>
      <c r="M45" s="280"/>
      <c r="N45" s="280"/>
      <c r="O45" s="280"/>
      <c r="P45" s="280"/>
    </row>
    <row r="46" spans="2:16" ht="32.25" customHeight="1" x14ac:dyDescent="0.15">
      <c r="B46" s="118" t="s">
        <v>281</v>
      </c>
      <c r="C46" s="637" t="s">
        <v>452</v>
      </c>
      <c r="D46" s="638"/>
      <c r="E46" s="638"/>
      <c r="F46" s="638"/>
      <c r="G46" s="638"/>
      <c r="H46" s="638"/>
      <c r="I46" s="639"/>
      <c r="J46" s="279"/>
      <c r="K46" s="281"/>
      <c r="L46" s="281"/>
      <c r="M46" s="281"/>
      <c r="N46" s="281"/>
      <c r="O46" s="281"/>
      <c r="P46" s="281"/>
    </row>
    <row r="47" spans="2:16" ht="96.5" customHeight="1" x14ac:dyDescent="0.15">
      <c r="B47" s="120" t="s">
        <v>282</v>
      </c>
      <c r="C47" s="640" t="s">
        <v>453</v>
      </c>
      <c r="D47" s="641"/>
      <c r="E47" s="641"/>
      <c r="F47" s="641"/>
      <c r="G47" s="641"/>
      <c r="H47" s="641"/>
      <c r="I47" s="642"/>
      <c r="J47" s="282"/>
      <c r="K47" s="283"/>
      <c r="L47" s="283"/>
      <c r="M47" s="283"/>
      <c r="N47" s="283"/>
      <c r="O47" s="283"/>
      <c r="P47" s="283"/>
    </row>
    <row r="48" spans="2:16" ht="22.5" customHeight="1" x14ac:dyDescent="0.15">
      <c r="B48" s="651" t="s">
        <v>283</v>
      </c>
      <c r="C48" s="652"/>
      <c r="D48" s="652"/>
      <c r="E48" s="652"/>
      <c r="F48" s="652"/>
      <c r="G48" s="652"/>
      <c r="H48" s="652"/>
      <c r="I48" s="653"/>
      <c r="J48" s="282"/>
      <c r="K48" s="283"/>
      <c r="L48" s="283"/>
      <c r="M48" s="283"/>
      <c r="N48" s="283"/>
      <c r="O48" s="283"/>
      <c r="P48" s="283"/>
    </row>
    <row r="49" spans="2:16" ht="55.25" customHeight="1" x14ac:dyDescent="0.15">
      <c r="B49" s="508" t="s">
        <v>284</v>
      </c>
      <c r="C49" s="141" t="s">
        <v>454</v>
      </c>
      <c r="D49" s="510" t="s">
        <v>286</v>
      </c>
      <c r="E49" s="510"/>
      <c r="F49" s="510"/>
      <c r="G49" s="510" t="s">
        <v>287</v>
      </c>
      <c r="H49" s="510"/>
      <c r="I49" s="511"/>
      <c r="J49" s="284"/>
      <c r="K49" s="285"/>
      <c r="L49" s="285"/>
      <c r="M49" s="285"/>
      <c r="N49" s="285"/>
      <c r="O49" s="285"/>
      <c r="P49" s="285"/>
    </row>
    <row r="50" spans="2:16" ht="30.75" customHeight="1" x14ac:dyDescent="0.15">
      <c r="B50" s="509"/>
      <c r="C50" s="232"/>
      <c r="D50" s="591"/>
      <c r="E50" s="591"/>
      <c r="F50" s="591"/>
      <c r="G50" s="591"/>
      <c r="H50" s="591"/>
      <c r="I50" s="592"/>
      <c r="J50" s="105"/>
      <c r="K50" s="105"/>
    </row>
    <row r="51" spans="2:16" ht="32.25" customHeight="1" x14ac:dyDescent="0.15">
      <c r="B51" s="121" t="s">
        <v>288</v>
      </c>
      <c r="C51" s="643" t="s">
        <v>455</v>
      </c>
      <c r="D51" s="643"/>
      <c r="E51" s="643"/>
      <c r="F51" s="643"/>
      <c r="G51" s="643"/>
      <c r="H51" s="643"/>
      <c r="I51" s="644"/>
      <c r="J51" s="106"/>
      <c r="K51" s="106"/>
    </row>
    <row r="52" spans="2:16" ht="28.5" customHeight="1" x14ac:dyDescent="0.15">
      <c r="B52" s="122" t="s">
        <v>290</v>
      </c>
      <c r="C52" s="643" t="s">
        <v>455</v>
      </c>
      <c r="D52" s="643"/>
      <c r="E52" s="643"/>
      <c r="F52" s="643"/>
      <c r="G52" s="643"/>
      <c r="H52" s="643"/>
      <c r="I52" s="644"/>
      <c r="J52" s="106"/>
      <c r="K52" s="106"/>
    </row>
    <row r="53" spans="2:16" ht="30" customHeight="1" x14ac:dyDescent="0.15">
      <c r="B53" s="120" t="s">
        <v>291</v>
      </c>
      <c r="C53" s="645" t="s">
        <v>428</v>
      </c>
      <c r="D53" s="646"/>
      <c r="E53" s="646"/>
      <c r="F53" s="646"/>
      <c r="G53" s="646"/>
      <c r="H53" s="646"/>
      <c r="I53" s="647"/>
      <c r="J53" s="107"/>
      <c r="K53" s="107"/>
    </row>
    <row r="54" spans="2:16" ht="31.5" customHeight="1" thickBot="1" x14ac:dyDescent="0.2">
      <c r="B54" s="116" t="s">
        <v>293</v>
      </c>
      <c r="C54" s="645" t="s">
        <v>428</v>
      </c>
      <c r="D54" s="646"/>
      <c r="E54" s="646"/>
      <c r="F54" s="646"/>
      <c r="G54" s="646"/>
      <c r="H54" s="646"/>
      <c r="I54" s="647"/>
      <c r="J54" s="108"/>
      <c r="K54" s="108"/>
    </row>
    <row r="55" spans="2:16" ht="12.75" customHeight="1" x14ac:dyDescent="0.15">
      <c r="B55" s="109"/>
      <c r="C55" s="110"/>
      <c r="D55" s="110"/>
      <c r="E55" s="111"/>
      <c r="F55" s="111"/>
      <c r="G55" s="112"/>
      <c r="H55" s="113"/>
      <c r="I55" s="110"/>
      <c r="J55" s="108"/>
      <c r="K55" s="108"/>
    </row>
    <row r="56" spans="2:16" x14ac:dyDescent="0.15">
      <c r="B56" s="109"/>
      <c r="C56" s="110"/>
      <c r="D56" s="110"/>
      <c r="E56" s="111"/>
      <c r="F56" s="111"/>
      <c r="G56" s="112"/>
      <c r="H56" s="113"/>
      <c r="I56" s="110"/>
      <c r="J56" s="108"/>
      <c r="K56" s="108"/>
    </row>
    <row r="57" spans="2:16" x14ac:dyDescent="0.15">
      <c r="B57" s="109"/>
      <c r="C57" s="110"/>
      <c r="D57" s="110"/>
      <c r="E57" s="111"/>
      <c r="F57" s="111"/>
      <c r="G57" s="112"/>
      <c r="H57" s="113"/>
      <c r="I57" s="110"/>
      <c r="J57" s="108"/>
      <c r="K57" s="108"/>
    </row>
    <row r="58" spans="2:16" x14ac:dyDescent="0.15">
      <c r="B58" s="109"/>
      <c r="C58" s="110"/>
      <c r="D58" s="110"/>
      <c r="E58" s="111"/>
      <c r="F58" s="111"/>
      <c r="G58" s="112"/>
      <c r="H58" s="113"/>
      <c r="I58" s="110"/>
      <c r="J58" s="108"/>
      <c r="K58" s="108"/>
    </row>
    <row r="59" spans="2:16" x14ac:dyDescent="0.15">
      <c r="B59" s="109"/>
      <c r="C59" s="110"/>
      <c r="D59" s="110"/>
      <c r="E59" s="111"/>
      <c r="F59" s="111"/>
      <c r="G59" s="112"/>
      <c r="H59" s="113"/>
      <c r="I59" s="110"/>
      <c r="J59" s="108"/>
      <c r="K59" s="108"/>
    </row>
    <row r="60" spans="2:16" ht="25.5" customHeight="1" x14ac:dyDescent="0.15">
      <c r="B60" s="109"/>
      <c r="C60" s="110"/>
      <c r="D60" s="110"/>
      <c r="E60" s="111"/>
      <c r="F60" s="111"/>
      <c r="G60" s="112"/>
      <c r="H60" s="113"/>
      <c r="I60" s="110"/>
      <c r="J60" s="108"/>
      <c r="K60" s="108"/>
    </row>
  </sheetData>
  <sheetProtection algorithmName="SHA-512" hashValue="y3VcYyP2xLz7SqUlGhHgqmwqa8RDIHtRQ/X/vQ/1aFhfaDhvEaVRug1PwllJnq4ouyPonzVeBsueVpSHDuwV4g==" saltValue="vWai3ANTHCp2XgSN8mdwUA==" spinCount="100000" sheet="1" objects="1" scenarios="1"/>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A21" zoomScale="85" zoomScaleNormal="100" zoomScaleSheetLayoutView="85" workbookViewId="0">
      <selection activeCell="G47" sqref="G47"/>
    </sheetView>
  </sheetViews>
  <sheetFormatPr baseColWidth="10" defaultColWidth="11.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582"/>
      <c r="C1" s="585" t="s">
        <v>1</v>
      </c>
      <c r="D1" s="585"/>
      <c r="E1" s="585"/>
      <c r="F1" s="585"/>
      <c r="G1" s="585"/>
      <c r="H1" s="585"/>
      <c r="I1" s="586"/>
      <c r="J1" s="10"/>
      <c r="K1" s="10"/>
      <c r="M1" s="11" t="s">
        <v>67</v>
      </c>
    </row>
    <row r="2" spans="2:14" ht="37.5" customHeight="1" x14ac:dyDescent="0.15">
      <c r="B2" s="583"/>
      <c r="C2" s="663" t="s">
        <v>218</v>
      </c>
      <c r="D2" s="663"/>
      <c r="E2" s="663"/>
      <c r="F2" s="663"/>
      <c r="G2" s="663"/>
      <c r="H2" s="663"/>
      <c r="I2" s="587"/>
      <c r="J2" s="10"/>
      <c r="K2" s="10"/>
      <c r="M2" s="11" t="s">
        <v>68</v>
      </c>
    </row>
    <row r="3" spans="2:14" ht="37.5" customHeight="1" x14ac:dyDescent="0.15">
      <c r="B3" s="583"/>
      <c r="C3" s="663" t="s">
        <v>219</v>
      </c>
      <c r="D3" s="663"/>
      <c r="E3" s="663"/>
      <c r="F3" s="663" t="s">
        <v>220</v>
      </c>
      <c r="G3" s="663"/>
      <c r="H3" s="663"/>
      <c r="I3" s="587"/>
      <c r="J3" s="10"/>
      <c r="K3" s="10"/>
      <c r="M3" s="11" t="s">
        <v>70</v>
      </c>
    </row>
    <row r="4" spans="2:14" ht="23.25" customHeight="1" x14ac:dyDescent="0.15">
      <c r="B4" s="578" t="s">
        <v>221</v>
      </c>
      <c r="C4" s="579"/>
      <c r="D4" s="579"/>
      <c r="E4" s="579"/>
      <c r="F4" s="579"/>
      <c r="G4" s="579"/>
      <c r="H4" s="579"/>
      <c r="I4" s="580"/>
      <c r="J4" s="12"/>
      <c r="K4" s="12"/>
    </row>
    <row r="5" spans="2:14" ht="24" customHeight="1" x14ac:dyDescent="0.15">
      <c r="B5" s="512" t="s">
        <v>222</v>
      </c>
      <c r="C5" s="513"/>
      <c r="D5" s="513"/>
      <c r="E5" s="513"/>
      <c r="F5" s="513"/>
      <c r="G5" s="513"/>
      <c r="H5" s="513"/>
      <c r="I5" s="514"/>
      <c r="J5" s="40"/>
      <c r="K5" s="40"/>
      <c r="N5" s="6" t="s">
        <v>77</v>
      </c>
    </row>
    <row r="6" spans="2:14" ht="30.75" customHeight="1" x14ac:dyDescent="0.15">
      <c r="B6" s="118" t="s">
        <v>223</v>
      </c>
      <c r="C6" s="233">
        <v>4</v>
      </c>
      <c r="D6" s="581" t="s">
        <v>224</v>
      </c>
      <c r="E6" s="581"/>
      <c r="F6" s="702" t="s">
        <v>332</v>
      </c>
      <c r="G6" s="702"/>
      <c r="H6" s="702"/>
      <c r="I6" s="703"/>
      <c r="J6" s="14"/>
      <c r="K6" s="14"/>
      <c r="M6" s="11" t="s">
        <v>81</v>
      </c>
      <c r="N6" s="6" t="s">
        <v>82</v>
      </c>
    </row>
    <row r="7" spans="2:14" ht="30.75" customHeight="1" x14ac:dyDescent="0.15">
      <c r="B7" s="118" t="s">
        <v>226</v>
      </c>
      <c r="C7" s="233" t="s">
        <v>84</v>
      </c>
      <c r="D7" s="581" t="s">
        <v>227</v>
      </c>
      <c r="E7" s="581"/>
      <c r="F7" s="704" t="s">
        <v>318</v>
      </c>
      <c r="G7" s="704"/>
      <c r="H7" s="135" t="s">
        <v>229</v>
      </c>
      <c r="I7" s="234" t="s">
        <v>84</v>
      </c>
      <c r="J7" s="15"/>
      <c r="K7" s="15"/>
      <c r="M7" s="11" t="s">
        <v>88</v>
      </c>
      <c r="N7" s="6" t="s">
        <v>89</v>
      </c>
    </row>
    <row r="8" spans="2:14" ht="30.75" customHeight="1" x14ac:dyDescent="0.15">
      <c r="B8" s="118" t="s">
        <v>230</v>
      </c>
      <c r="C8" s="702" t="s">
        <v>231</v>
      </c>
      <c r="D8" s="702"/>
      <c r="E8" s="702"/>
      <c r="F8" s="702"/>
      <c r="G8" s="135" t="s">
        <v>232</v>
      </c>
      <c r="H8" s="719">
        <v>7550</v>
      </c>
      <c r="I8" s="720"/>
      <c r="J8" s="16"/>
      <c r="K8" s="16"/>
      <c r="M8" s="11" t="s">
        <v>93</v>
      </c>
      <c r="N8" s="6" t="s">
        <v>44</v>
      </c>
    </row>
    <row r="9" spans="2:14" ht="30.75" customHeight="1" x14ac:dyDescent="0.15">
      <c r="B9" s="118" t="s">
        <v>68</v>
      </c>
      <c r="C9" s="721" t="s">
        <v>93</v>
      </c>
      <c r="D9" s="721"/>
      <c r="E9" s="721"/>
      <c r="F9" s="721"/>
      <c r="G9" s="135" t="s">
        <v>233</v>
      </c>
      <c r="H9" s="722" t="s">
        <v>319</v>
      </c>
      <c r="I9" s="723"/>
      <c r="J9" s="17"/>
      <c r="K9" s="17"/>
      <c r="M9" s="18" t="s">
        <v>97</v>
      </c>
    </row>
    <row r="10" spans="2:14" ht="30.75" customHeight="1" x14ac:dyDescent="0.15">
      <c r="B10" s="118" t="s">
        <v>235</v>
      </c>
      <c r="C10" s="702" t="s">
        <v>333</v>
      </c>
      <c r="D10" s="702"/>
      <c r="E10" s="702"/>
      <c r="F10" s="702"/>
      <c r="G10" s="702"/>
      <c r="H10" s="702"/>
      <c r="I10" s="703"/>
      <c r="J10" s="19"/>
      <c r="K10" s="19"/>
      <c r="M10" s="18"/>
    </row>
    <row r="11" spans="2:14" ht="30.75" customHeight="1" x14ac:dyDescent="0.15">
      <c r="B11" s="118" t="s">
        <v>237</v>
      </c>
      <c r="C11" s="704" t="s">
        <v>238</v>
      </c>
      <c r="D11" s="704"/>
      <c r="E11" s="704"/>
      <c r="F11" s="704"/>
      <c r="G11" s="704"/>
      <c r="H11" s="704"/>
      <c r="I11" s="724"/>
      <c r="J11" s="15"/>
      <c r="K11" s="15"/>
      <c r="M11" s="18"/>
      <c r="N11" s="6" t="s">
        <v>102</v>
      </c>
    </row>
    <row r="12" spans="2:14" ht="30.75" customHeight="1" x14ac:dyDescent="0.15">
      <c r="B12" s="118" t="s">
        <v>239</v>
      </c>
      <c r="C12" s="725" t="s">
        <v>334</v>
      </c>
      <c r="D12" s="725"/>
      <c r="E12" s="725"/>
      <c r="F12" s="725"/>
      <c r="G12" s="135" t="s">
        <v>241</v>
      </c>
      <c r="H12" s="710" t="s">
        <v>106</v>
      </c>
      <c r="I12" s="711"/>
      <c r="J12" s="15"/>
      <c r="K12" s="15"/>
      <c r="M12" s="18" t="s">
        <v>107</v>
      </c>
      <c r="N12" s="6" t="s">
        <v>84</v>
      </c>
    </row>
    <row r="13" spans="2:14" ht="30.75" customHeight="1" x14ac:dyDescent="0.15">
      <c r="B13" s="118" t="s">
        <v>242</v>
      </c>
      <c r="C13" s="726" t="s">
        <v>322</v>
      </c>
      <c r="D13" s="726"/>
      <c r="E13" s="726"/>
      <c r="F13" s="726"/>
      <c r="G13" s="135" t="s">
        <v>244</v>
      </c>
      <c r="H13" s="704" t="s">
        <v>44</v>
      </c>
      <c r="I13" s="724"/>
      <c r="J13" s="15"/>
      <c r="K13" s="15"/>
      <c r="M13" s="18" t="s">
        <v>111</v>
      </c>
    </row>
    <row r="14" spans="2:14" ht="64.5" customHeight="1" x14ac:dyDescent="0.15">
      <c r="B14" s="118" t="s">
        <v>245</v>
      </c>
      <c r="C14" s="727" t="s">
        <v>335</v>
      </c>
      <c r="D14" s="727"/>
      <c r="E14" s="727"/>
      <c r="F14" s="727"/>
      <c r="G14" s="727"/>
      <c r="H14" s="727"/>
      <c r="I14" s="728"/>
      <c r="J14" s="19"/>
      <c r="K14" s="19"/>
      <c r="M14" s="18" t="s">
        <v>114</v>
      </c>
      <c r="N14" s="6"/>
    </row>
    <row r="15" spans="2:14" ht="30.75" customHeight="1" x14ac:dyDescent="0.15">
      <c r="B15" s="118" t="s">
        <v>247</v>
      </c>
      <c r="C15" s="717" t="s">
        <v>248</v>
      </c>
      <c r="D15" s="717"/>
      <c r="E15" s="717"/>
      <c r="F15" s="717"/>
      <c r="G15" s="717"/>
      <c r="H15" s="717"/>
      <c r="I15" s="718"/>
      <c r="J15" s="20"/>
      <c r="K15" s="20"/>
      <c r="M15" s="18" t="s">
        <v>118</v>
      </c>
      <c r="N15" s="6"/>
    </row>
    <row r="16" spans="2:14" ht="20.25" customHeight="1" x14ac:dyDescent="0.15">
      <c r="B16" s="118" t="s">
        <v>249</v>
      </c>
      <c r="C16" s="702" t="s">
        <v>336</v>
      </c>
      <c r="D16" s="702"/>
      <c r="E16" s="702"/>
      <c r="F16" s="702"/>
      <c r="G16" s="702"/>
      <c r="H16" s="702"/>
      <c r="I16" s="703"/>
      <c r="J16" s="21"/>
      <c r="K16" s="21"/>
      <c r="M16" s="18"/>
      <c r="N16" s="6"/>
    </row>
    <row r="17" spans="2:14" ht="30.75" customHeight="1" x14ac:dyDescent="0.15">
      <c r="B17" s="118" t="s">
        <v>251</v>
      </c>
      <c r="C17" s="704" t="s">
        <v>43</v>
      </c>
      <c r="D17" s="705"/>
      <c r="E17" s="705"/>
      <c r="F17" s="705"/>
      <c r="G17" s="705"/>
      <c r="H17" s="705"/>
      <c r="I17" s="706"/>
      <c r="J17" s="22"/>
      <c r="K17" s="22"/>
      <c r="M17" s="18" t="s">
        <v>106</v>
      </c>
      <c r="N17" s="6"/>
    </row>
    <row r="18" spans="2:14" ht="18" customHeight="1" x14ac:dyDescent="0.15">
      <c r="B18" s="555" t="s">
        <v>253</v>
      </c>
      <c r="C18" s="556" t="s">
        <v>254</v>
      </c>
      <c r="D18" s="556"/>
      <c r="E18" s="556"/>
      <c r="F18" s="557" t="s">
        <v>255</v>
      </c>
      <c r="G18" s="557"/>
      <c r="H18" s="557"/>
      <c r="I18" s="558"/>
      <c r="J18" s="23"/>
      <c r="K18" s="23"/>
      <c r="M18" s="18" t="s">
        <v>128</v>
      </c>
      <c r="N18" s="6"/>
    </row>
    <row r="19" spans="2:14" ht="39.75" customHeight="1" x14ac:dyDescent="0.15">
      <c r="B19" s="555"/>
      <c r="C19" s="702" t="s">
        <v>337</v>
      </c>
      <c r="D19" s="702"/>
      <c r="E19" s="702"/>
      <c r="F19" s="702" t="s">
        <v>338</v>
      </c>
      <c r="G19" s="702"/>
      <c r="H19" s="702"/>
      <c r="I19" s="703"/>
      <c r="J19" s="21"/>
      <c r="K19" s="21"/>
      <c r="M19" s="18" t="s">
        <v>132</v>
      </c>
      <c r="N19" s="6"/>
    </row>
    <row r="20" spans="2:14" ht="39.75" customHeight="1" x14ac:dyDescent="0.15">
      <c r="B20" s="118" t="s">
        <v>258</v>
      </c>
      <c r="C20" s="707" t="s">
        <v>43</v>
      </c>
      <c r="D20" s="708"/>
      <c r="E20" s="709"/>
      <c r="F20" s="710" t="s">
        <v>43</v>
      </c>
      <c r="G20" s="710"/>
      <c r="H20" s="710"/>
      <c r="I20" s="711"/>
      <c r="J20" s="15"/>
      <c r="K20" s="15"/>
      <c r="M20" s="18"/>
      <c r="N20" s="6"/>
    </row>
    <row r="21" spans="2:14" ht="42" customHeight="1" x14ac:dyDescent="0.15">
      <c r="B21" s="118" t="s">
        <v>259</v>
      </c>
      <c r="C21" s="712" t="s">
        <v>339</v>
      </c>
      <c r="D21" s="713"/>
      <c r="E21" s="714"/>
      <c r="F21" s="688" t="s">
        <v>340</v>
      </c>
      <c r="G21" s="689"/>
      <c r="H21" s="689"/>
      <c r="I21" s="690"/>
      <c r="J21" s="20"/>
      <c r="K21" s="20"/>
      <c r="M21" s="24"/>
      <c r="N21" s="6"/>
    </row>
    <row r="22" spans="2:14" ht="23.25" customHeight="1" x14ac:dyDescent="0.15">
      <c r="B22" s="118" t="s">
        <v>262</v>
      </c>
      <c r="C22" s="697">
        <v>44197</v>
      </c>
      <c r="D22" s="715"/>
      <c r="E22" s="716"/>
      <c r="F22" s="135" t="s">
        <v>263</v>
      </c>
      <c r="G22" s="235">
        <v>10</v>
      </c>
      <c r="H22" s="135" t="s">
        <v>264</v>
      </c>
      <c r="I22" s="236">
        <v>10</v>
      </c>
      <c r="J22" s="25"/>
      <c r="K22" s="25"/>
      <c r="M22" s="24"/>
    </row>
    <row r="23" spans="2:14" ht="27" customHeight="1" x14ac:dyDescent="0.15">
      <c r="B23" s="118" t="s">
        <v>265</v>
      </c>
      <c r="C23" s="697">
        <v>44561</v>
      </c>
      <c r="D23" s="689"/>
      <c r="E23" s="698"/>
      <c r="F23" s="135" t="s">
        <v>266</v>
      </c>
      <c r="G23" s="699">
        <v>0.3</v>
      </c>
      <c r="H23" s="700"/>
      <c r="I23" s="701"/>
      <c r="J23" s="26"/>
      <c r="K23" s="26"/>
      <c r="M23" s="24"/>
    </row>
    <row r="24" spans="2:14" ht="30.75" customHeight="1" x14ac:dyDescent="0.15">
      <c r="B24" s="222" t="s">
        <v>267</v>
      </c>
      <c r="C24" s="685" t="s">
        <v>118</v>
      </c>
      <c r="D24" s="686"/>
      <c r="E24" s="687"/>
      <c r="F24" s="223" t="s">
        <v>269</v>
      </c>
      <c r="G24" s="688"/>
      <c r="H24" s="689"/>
      <c r="I24" s="690"/>
      <c r="J24" s="23"/>
      <c r="K24" s="23"/>
      <c r="M24" s="24"/>
    </row>
    <row r="25" spans="2:14" ht="22.5" customHeight="1" x14ac:dyDescent="0.15">
      <c r="B25" s="651" t="s">
        <v>270</v>
      </c>
      <c r="C25" s="652"/>
      <c r="D25" s="652"/>
      <c r="E25" s="652"/>
      <c r="F25" s="652"/>
      <c r="G25" s="652"/>
      <c r="H25" s="652"/>
      <c r="I25" s="653"/>
      <c r="J25" s="40"/>
      <c r="K25" s="40"/>
      <c r="M25" s="24"/>
    </row>
    <row r="26" spans="2:14" ht="43.5" customHeight="1" x14ac:dyDescent="0.15">
      <c r="B26" s="100" t="s">
        <v>148</v>
      </c>
      <c r="C26" s="138" t="s">
        <v>271</v>
      </c>
      <c r="D26" s="138" t="s">
        <v>272</v>
      </c>
      <c r="E26" s="139" t="s">
        <v>273</v>
      </c>
      <c r="F26" s="138" t="s">
        <v>274</v>
      </c>
      <c r="G26" s="138" t="s">
        <v>275</v>
      </c>
      <c r="H26" s="139" t="s">
        <v>330</v>
      </c>
      <c r="I26" s="140" t="s">
        <v>277</v>
      </c>
      <c r="M26" s="24"/>
    </row>
    <row r="27" spans="2:14" ht="19.5" customHeight="1" x14ac:dyDescent="0.15">
      <c r="B27" s="101" t="s">
        <v>157</v>
      </c>
      <c r="C27" s="167">
        <v>0.09</v>
      </c>
      <c r="D27" s="167">
        <v>0.09</v>
      </c>
      <c r="E27" s="131">
        <f>D27/C27</f>
        <v>1</v>
      </c>
      <c r="F27" s="691">
        <f>SUM(C27:C38)</f>
        <v>0.30001000000000005</v>
      </c>
      <c r="G27" s="691">
        <f>SUM(D27:D38)</f>
        <v>0.30002000000000001</v>
      </c>
      <c r="H27" s="238">
        <f>+(D27*100%)/$G$23</f>
        <v>0.3</v>
      </c>
      <c r="I27" s="694">
        <f>G27+I22</f>
        <v>10.30002</v>
      </c>
      <c r="M27" s="24"/>
    </row>
    <row r="28" spans="2:14" ht="19.5" customHeight="1" x14ac:dyDescent="0.15">
      <c r="B28" s="101" t="s">
        <v>158</v>
      </c>
      <c r="C28" s="167">
        <v>0.01</v>
      </c>
      <c r="D28" s="167">
        <v>0.01</v>
      </c>
      <c r="E28" s="131">
        <f t="shared" ref="E28:E31" si="0">D28/C28</f>
        <v>1</v>
      </c>
      <c r="F28" s="692"/>
      <c r="G28" s="692"/>
      <c r="H28" s="238">
        <f>+IF(D28="","",((D28*100%)/$G$23)+H27)</f>
        <v>0.33333333333333331</v>
      </c>
      <c r="I28" s="695"/>
      <c r="M28" s="24"/>
    </row>
    <row r="29" spans="2:14" ht="19.5" customHeight="1" x14ac:dyDescent="0.15">
      <c r="B29" s="101" t="s">
        <v>159</v>
      </c>
      <c r="C29" s="167">
        <v>0.01</v>
      </c>
      <c r="D29" s="167">
        <v>0.01</v>
      </c>
      <c r="E29" s="131">
        <f t="shared" si="0"/>
        <v>1</v>
      </c>
      <c r="F29" s="692"/>
      <c r="G29" s="692"/>
      <c r="H29" s="238">
        <f t="shared" ref="H29:H38" si="1">+IF(D29="","",((D29*100%)/$G$23)+H28)</f>
        <v>0.36666666666666664</v>
      </c>
      <c r="I29" s="695"/>
      <c r="M29" s="24"/>
    </row>
    <row r="30" spans="2:14" ht="19.5" customHeight="1" x14ac:dyDescent="0.15">
      <c r="B30" s="101" t="s">
        <v>160</v>
      </c>
      <c r="C30" s="167">
        <v>0.01</v>
      </c>
      <c r="D30" s="167">
        <v>0.01</v>
      </c>
      <c r="E30" s="131">
        <f t="shared" si="0"/>
        <v>1</v>
      </c>
      <c r="F30" s="692"/>
      <c r="G30" s="692"/>
      <c r="H30" s="238">
        <f t="shared" si="1"/>
        <v>0.39999999999999997</v>
      </c>
      <c r="I30" s="695"/>
    </row>
    <row r="31" spans="2:14" ht="19.5" customHeight="1" x14ac:dyDescent="0.15">
      <c r="B31" s="101" t="s">
        <v>161</v>
      </c>
      <c r="C31" s="167">
        <v>0.06</v>
      </c>
      <c r="D31" s="167">
        <v>0.06</v>
      </c>
      <c r="E31" s="131">
        <f t="shared" si="0"/>
        <v>1</v>
      </c>
      <c r="F31" s="692"/>
      <c r="G31" s="692"/>
      <c r="H31" s="238">
        <f t="shared" si="1"/>
        <v>0.6</v>
      </c>
      <c r="I31" s="695"/>
    </row>
    <row r="32" spans="2:14" ht="19.5" customHeight="1" x14ac:dyDescent="0.15">
      <c r="B32" s="101" t="s">
        <v>162</v>
      </c>
      <c r="C32" s="167">
        <v>1.43E-2</v>
      </c>
      <c r="D32" s="167">
        <v>1.43E-2</v>
      </c>
      <c r="E32" s="131">
        <f>D32/C32</f>
        <v>1</v>
      </c>
      <c r="F32" s="692"/>
      <c r="G32" s="692"/>
      <c r="H32" s="238">
        <f t="shared" si="1"/>
        <v>0.64766666666666661</v>
      </c>
      <c r="I32" s="695"/>
    </row>
    <row r="33" spans="2:11" ht="19.5" customHeight="1" x14ac:dyDescent="0.15">
      <c r="B33" s="101" t="s">
        <v>163</v>
      </c>
      <c r="C33" s="167">
        <v>1.43E-2</v>
      </c>
      <c r="D33" s="167">
        <v>1.43E-2</v>
      </c>
      <c r="E33" s="131">
        <f t="shared" ref="E33:E38" si="2">D33/C33</f>
        <v>1</v>
      </c>
      <c r="F33" s="692"/>
      <c r="G33" s="692"/>
      <c r="H33" s="238">
        <f t="shared" si="1"/>
        <v>0.69533333333333325</v>
      </c>
      <c r="I33" s="695"/>
    </row>
    <row r="34" spans="2:11" ht="19.5" customHeight="1" x14ac:dyDescent="0.15">
      <c r="B34" s="101" t="s">
        <v>164</v>
      </c>
      <c r="C34" s="237">
        <f>4.76%*G23</f>
        <v>1.4279999999999998E-2</v>
      </c>
      <c r="D34" s="237">
        <f>+C34</f>
        <v>1.4279999999999998E-2</v>
      </c>
      <c r="E34" s="131">
        <f t="shared" si="2"/>
        <v>1</v>
      </c>
      <c r="F34" s="692"/>
      <c r="G34" s="692"/>
      <c r="H34" s="238">
        <f t="shared" si="1"/>
        <v>0.74293333333333322</v>
      </c>
      <c r="I34" s="695"/>
    </row>
    <row r="35" spans="2:11" ht="19.5" customHeight="1" x14ac:dyDescent="0.15">
      <c r="B35" s="101" t="s">
        <v>165</v>
      </c>
      <c r="C35" s="237">
        <f>11.43%*G23</f>
        <v>3.4290000000000001E-2</v>
      </c>
      <c r="D35" s="237">
        <v>3.4299999999999997E-2</v>
      </c>
      <c r="E35" s="131">
        <f t="shared" si="2"/>
        <v>1.0002916302128899</v>
      </c>
      <c r="F35" s="692"/>
      <c r="G35" s="692"/>
      <c r="H35" s="238">
        <f t="shared" si="1"/>
        <v>0.85726666666666651</v>
      </c>
      <c r="I35" s="695"/>
    </row>
    <row r="36" spans="2:11" ht="19.5" customHeight="1" x14ac:dyDescent="0.15">
      <c r="B36" s="101" t="s">
        <v>166</v>
      </c>
      <c r="C36" s="237">
        <f>4.76%*G23</f>
        <v>1.4279999999999998E-2</v>
      </c>
      <c r="D36" s="237">
        <f>+C36</f>
        <v>1.4279999999999998E-2</v>
      </c>
      <c r="E36" s="131">
        <f t="shared" si="2"/>
        <v>1</v>
      </c>
      <c r="F36" s="692"/>
      <c r="G36" s="692"/>
      <c r="H36" s="238">
        <f t="shared" si="1"/>
        <v>0.90486666666666649</v>
      </c>
      <c r="I36" s="695"/>
    </row>
    <row r="37" spans="2:11" ht="19.5" customHeight="1" x14ac:dyDescent="0.15">
      <c r="B37" s="101" t="s">
        <v>167</v>
      </c>
      <c r="C37" s="237">
        <f>4.76%*G23</f>
        <v>1.4279999999999998E-2</v>
      </c>
      <c r="D37" s="237">
        <v>1.4279999999999998E-2</v>
      </c>
      <c r="E37" s="131">
        <f t="shared" si="2"/>
        <v>1</v>
      </c>
      <c r="F37" s="692"/>
      <c r="G37" s="692"/>
      <c r="H37" s="238">
        <f t="shared" si="1"/>
        <v>0.95246666666666646</v>
      </c>
      <c r="I37" s="695"/>
    </row>
    <row r="38" spans="2:11" ht="19.5" customHeight="1" x14ac:dyDescent="0.15">
      <c r="B38" s="101" t="s">
        <v>168</v>
      </c>
      <c r="C38" s="237">
        <f>4.76%*G23</f>
        <v>1.4279999999999998E-2</v>
      </c>
      <c r="D38" s="237">
        <f>+C38</f>
        <v>1.4279999999999998E-2</v>
      </c>
      <c r="E38" s="131">
        <f t="shared" si="2"/>
        <v>1</v>
      </c>
      <c r="F38" s="693"/>
      <c r="G38" s="693"/>
      <c r="H38" s="238">
        <f t="shared" si="1"/>
        <v>1.0000666666666664</v>
      </c>
      <c r="I38" s="696"/>
    </row>
    <row r="39" spans="2:11" ht="165" customHeight="1" x14ac:dyDescent="0.15">
      <c r="B39" s="119" t="s">
        <v>279</v>
      </c>
      <c r="C39" s="682" t="s">
        <v>456</v>
      </c>
      <c r="D39" s="683"/>
      <c r="E39" s="683"/>
      <c r="F39" s="683"/>
      <c r="G39" s="683"/>
      <c r="H39" s="683"/>
      <c r="I39" s="684"/>
    </row>
    <row r="40" spans="2:11" ht="34.5" customHeight="1" x14ac:dyDescent="0.15">
      <c r="B40" s="530"/>
      <c r="C40" s="531"/>
      <c r="D40" s="531"/>
      <c r="E40" s="531"/>
      <c r="F40" s="531"/>
      <c r="G40" s="531"/>
      <c r="H40" s="531"/>
      <c r="I40" s="532"/>
      <c r="J40" s="40"/>
      <c r="K40" s="40"/>
    </row>
    <row r="41" spans="2:11" ht="34.5" customHeight="1" x14ac:dyDescent="0.15">
      <c r="B41" s="533"/>
      <c r="C41" s="534"/>
      <c r="D41" s="534"/>
      <c r="E41" s="534"/>
      <c r="F41" s="534"/>
      <c r="G41" s="534"/>
      <c r="H41" s="534"/>
      <c r="I41" s="535"/>
      <c r="J41" s="28"/>
      <c r="K41" s="28"/>
    </row>
    <row r="42" spans="2:11" ht="34.5" customHeight="1" x14ac:dyDescent="0.15">
      <c r="B42" s="533"/>
      <c r="C42" s="534"/>
      <c r="D42" s="534"/>
      <c r="E42" s="534"/>
      <c r="F42" s="534"/>
      <c r="G42" s="534"/>
      <c r="H42" s="534"/>
      <c r="I42" s="535"/>
      <c r="J42" s="28"/>
      <c r="K42" s="28"/>
    </row>
    <row r="43" spans="2:11" ht="34.5" customHeight="1" x14ac:dyDescent="0.15">
      <c r="B43" s="533"/>
      <c r="C43" s="534"/>
      <c r="D43" s="534"/>
      <c r="E43" s="534"/>
      <c r="F43" s="534"/>
      <c r="G43" s="534"/>
      <c r="H43" s="534"/>
      <c r="I43" s="535"/>
      <c r="J43" s="28"/>
      <c r="K43" s="28"/>
    </row>
    <row r="44" spans="2:11" ht="34.5" customHeight="1" x14ac:dyDescent="0.15">
      <c r="B44" s="536"/>
      <c r="C44" s="537"/>
      <c r="D44" s="537"/>
      <c r="E44" s="537"/>
      <c r="F44" s="537"/>
      <c r="G44" s="537"/>
      <c r="H44" s="537"/>
      <c r="I44" s="538"/>
      <c r="J44" s="12"/>
      <c r="K44" s="12"/>
    </row>
    <row r="45" spans="2:11" ht="24.5" customHeight="1" x14ac:dyDescent="0.15">
      <c r="B45" s="670" t="s">
        <v>280</v>
      </c>
      <c r="C45" s="673" t="s">
        <v>456</v>
      </c>
      <c r="D45" s="673"/>
      <c r="E45" s="673"/>
      <c r="F45" s="674"/>
      <c r="G45" s="143"/>
      <c r="H45" s="144" t="s">
        <v>148</v>
      </c>
      <c r="I45" s="145" t="s">
        <v>307</v>
      </c>
      <c r="J45" s="12"/>
      <c r="K45" s="12"/>
    </row>
    <row r="46" spans="2:11" ht="55.75" customHeight="1" x14ac:dyDescent="0.15">
      <c r="B46" s="671"/>
      <c r="C46" s="675"/>
      <c r="D46" s="675"/>
      <c r="E46" s="675"/>
      <c r="F46" s="676"/>
      <c r="G46" s="152" t="s">
        <v>341</v>
      </c>
      <c r="H46" s="286">
        <v>2</v>
      </c>
      <c r="I46" s="286">
        <v>37</v>
      </c>
      <c r="J46" s="29"/>
      <c r="K46" s="29"/>
    </row>
    <row r="47" spans="2:11" ht="55.75" customHeight="1" x14ac:dyDescent="0.15">
      <c r="B47" s="672"/>
      <c r="C47" s="677"/>
      <c r="D47" s="677"/>
      <c r="E47" s="677"/>
      <c r="F47" s="678"/>
      <c r="G47" s="152" t="s">
        <v>457</v>
      </c>
      <c r="H47" s="286">
        <v>19</v>
      </c>
      <c r="I47" s="286">
        <v>170</v>
      </c>
      <c r="J47" s="29"/>
      <c r="K47" s="29"/>
    </row>
    <row r="48" spans="2:11" ht="32.25" customHeight="1" x14ac:dyDescent="0.15">
      <c r="B48" s="118" t="s">
        <v>281</v>
      </c>
      <c r="C48" s="664" t="s">
        <v>342</v>
      </c>
      <c r="D48" s="665"/>
      <c r="E48" s="665"/>
      <c r="F48" s="665"/>
      <c r="G48" s="665"/>
      <c r="H48" s="665"/>
      <c r="I48" s="666"/>
      <c r="J48" s="29"/>
      <c r="K48" s="29"/>
    </row>
    <row r="49" spans="2:11" ht="69" customHeight="1" x14ac:dyDescent="0.15">
      <c r="B49" s="120" t="s">
        <v>282</v>
      </c>
      <c r="C49" s="667" t="s">
        <v>343</v>
      </c>
      <c r="D49" s="668"/>
      <c r="E49" s="668"/>
      <c r="F49" s="668"/>
      <c r="G49" s="668"/>
      <c r="H49" s="668"/>
      <c r="I49" s="669"/>
      <c r="J49" s="29"/>
      <c r="K49" s="29"/>
    </row>
    <row r="50" spans="2:11" ht="22.5" customHeight="1" x14ac:dyDescent="0.15">
      <c r="B50" s="651" t="s">
        <v>283</v>
      </c>
      <c r="C50" s="652"/>
      <c r="D50" s="652"/>
      <c r="E50" s="652"/>
      <c r="F50" s="652"/>
      <c r="G50" s="652"/>
      <c r="H50" s="652"/>
      <c r="I50" s="653"/>
      <c r="J50" s="29"/>
      <c r="K50" s="29"/>
    </row>
    <row r="51" spans="2:11" ht="22.5" customHeight="1" x14ac:dyDescent="0.15">
      <c r="B51" s="508" t="s">
        <v>284</v>
      </c>
      <c r="C51" s="141" t="s">
        <v>285</v>
      </c>
      <c r="D51" s="510" t="s">
        <v>286</v>
      </c>
      <c r="E51" s="510"/>
      <c r="F51" s="510"/>
      <c r="G51" s="510" t="s">
        <v>287</v>
      </c>
      <c r="H51" s="510"/>
      <c r="I51" s="511"/>
      <c r="J51" s="30"/>
      <c r="K51" s="30"/>
    </row>
    <row r="52" spans="2:11" ht="30.75" customHeight="1" x14ac:dyDescent="0.15">
      <c r="B52" s="509"/>
      <c r="C52" s="232"/>
      <c r="D52" s="591"/>
      <c r="E52" s="591"/>
      <c r="F52" s="591"/>
      <c r="G52" s="591"/>
      <c r="H52" s="591"/>
      <c r="I52" s="592"/>
      <c r="J52" s="30"/>
      <c r="K52" s="30"/>
    </row>
    <row r="53" spans="2:11" ht="32.25" customHeight="1" x14ac:dyDescent="0.15">
      <c r="B53" s="121" t="s">
        <v>288</v>
      </c>
      <c r="C53" s="591" t="s">
        <v>344</v>
      </c>
      <c r="D53" s="591"/>
      <c r="E53" s="591"/>
      <c r="F53" s="591"/>
      <c r="G53" s="591"/>
      <c r="H53" s="591"/>
      <c r="I53" s="592"/>
      <c r="J53" s="32"/>
      <c r="K53" s="32"/>
    </row>
    <row r="54" spans="2:11" ht="28.5" customHeight="1" x14ac:dyDescent="0.15">
      <c r="B54" s="122" t="s">
        <v>290</v>
      </c>
      <c r="C54" s="591" t="s">
        <v>344</v>
      </c>
      <c r="D54" s="591"/>
      <c r="E54" s="591"/>
      <c r="F54" s="591"/>
      <c r="G54" s="591"/>
      <c r="H54" s="591"/>
      <c r="I54" s="592"/>
      <c r="J54" s="32"/>
      <c r="K54" s="32"/>
    </row>
    <row r="55" spans="2:11" ht="30" customHeight="1" x14ac:dyDescent="0.15">
      <c r="B55" s="120" t="s">
        <v>291</v>
      </c>
      <c r="C55" s="679" t="s">
        <v>428</v>
      </c>
      <c r="D55" s="680"/>
      <c r="E55" s="680"/>
      <c r="F55" s="680"/>
      <c r="G55" s="680"/>
      <c r="H55" s="680"/>
      <c r="I55" s="681"/>
      <c r="J55" s="33"/>
      <c r="K55" s="33"/>
    </row>
    <row r="56" spans="2:11" ht="31.5" customHeight="1" thickBot="1" x14ac:dyDescent="0.2">
      <c r="B56" s="116" t="s">
        <v>293</v>
      </c>
      <c r="C56" s="679" t="s">
        <v>428</v>
      </c>
      <c r="D56" s="680"/>
      <c r="E56" s="680"/>
      <c r="F56" s="680"/>
      <c r="G56" s="680"/>
      <c r="H56" s="680"/>
      <c r="I56" s="681"/>
      <c r="J56" s="34"/>
      <c r="K56" s="34"/>
    </row>
    <row r="57" spans="2:11" ht="12.75" customHeight="1" x14ac:dyDescent="0.15">
      <c r="B57" s="123"/>
      <c r="C57" s="124"/>
      <c r="D57" s="124"/>
      <c r="E57" s="125"/>
      <c r="F57" s="125"/>
      <c r="G57" s="126"/>
      <c r="H57" s="127"/>
      <c r="I57" s="124"/>
      <c r="J57" s="34"/>
      <c r="K57" s="34"/>
    </row>
    <row r="58" spans="2:11" ht="13.2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25.5" customHeight="1" x14ac:dyDescent="0.15">
      <c r="B62" s="123"/>
      <c r="C62" s="124"/>
      <c r="D62" s="124"/>
      <c r="E62" s="125"/>
      <c r="F62" s="125"/>
      <c r="G62" s="126"/>
      <c r="H62" s="127"/>
      <c r="I62" s="124"/>
      <c r="J62" s="34"/>
      <c r="K62" s="34"/>
    </row>
    <row r="63" spans="2:11" ht="13.25" customHeight="1" x14ac:dyDescent="0.15"/>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sheetData>
  <sheetProtection algorithmName="SHA-512" hashValue="XpgYUkGRbIBbzt4jPrki9xM1aCTSfnist/OHL0Tpc1lhzylj3hkBUl7eyeNiHMIUEaBFVj0MoY4a/PLmCwfmuQ==" saltValue="crBcR5PET9mJpPebctcVz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5:I55"/>
    <mergeCell ref="C56:I56"/>
    <mergeCell ref="C53:I53"/>
    <mergeCell ref="B50:I50"/>
    <mergeCell ref="B51:B52"/>
    <mergeCell ref="D51:F51"/>
    <mergeCell ref="G51:I51"/>
    <mergeCell ref="D52:F52"/>
    <mergeCell ref="G52:I52"/>
    <mergeCell ref="C48:I48"/>
    <mergeCell ref="C49:I49"/>
    <mergeCell ref="B45:B47"/>
    <mergeCell ref="C45:F47"/>
    <mergeCell ref="C54:I54"/>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21" zoomScale="70" zoomScaleNormal="85" zoomScaleSheetLayoutView="70" zoomScalePageLayoutView="85" workbookViewId="0">
      <selection activeCell="J53" sqref="J53"/>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4" customWidth="1"/>
    <col min="8" max="9" width="12.5" style="83" customWidth="1"/>
    <col min="10" max="11" width="22.5" style="83" customWidth="1"/>
    <col min="12" max="24" width="10.6640625" style="81"/>
    <col min="25" max="16384" width="10.6640625" style="83"/>
  </cols>
  <sheetData>
    <row r="1" spans="2:14" ht="37.5" customHeight="1" x14ac:dyDescent="0.15">
      <c r="B1" s="582"/>
      <c r="C1" s="585" t="s">
        <v>1</v>
      </c>
      <c r="D1" s="585"/>
      <c r="E1" s="585"/>
      <c r="F1" s="585"/>
      <c r="G1" s="585"/>
      <c r="H1" s="585"/>
      <c r="I1" s="586"/>
      <c r="J1" s="80"/>
      <c r="K1" s="80"/>
      <c r="M1" s="82" t="s">
        <v>67</v>
      </c>
    </row>
    <row r="2" spans="2:14" ht="37.5" customHeight="1" x14ac:dyDescent="0.15">
      <c r="B2" s="583"/>
      <c r="C2" s="589" t="s">
        <v>218</v>
      </c>
      <c r="D2" s="589"/>
      <c r="E2" s="589"/>
      <c r="F2" s="589"/>
      <c r="G2" s="589"/>
      <c r="H2" s="589"/>
      <c r="I2" s="587"/>
      <c r="J2" s="80"/>
      <c r="K2" s="80"/>
      <c r="M2" s="82" t="s">
        <v>68</v>
      </c>
    </row>
    <row r="3" spans="2:14" ht="37.5" customHeight="1" thickBot="1" x14ac:dyDescent="0.2">
      <c r="B3" s="584"/>
      <c r="C3" s="590" t="s">
        <v>219</v>
      </c>
      <c r="D3" s="590"/>
      <c r="E3" s="590"/>
      <c r="F3" s="590" t="s">
        <v>220</v>
      </c>
      <c r="G3" s="590"/>
      <c r="H3" s="590"/>
      <c r="I3" s="588"/>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t="s">
        <v>77</v>
      </c>
    </row>
    <row r="6" spans="2:14" ht="30.75" customHeight="1" x14ac:dyDescent="0.15">
      <c r="B6" s="118" t="s">
        <v>223</v>
      </c>
      <c r="C6" s="134">
        <v>5</v>
      </c>
      <c r="D6" s="581" t="s">
        <v>224</v>
      </c>
      <c r="E6" s="581"/>
      <c r="F6" s="559" t="s">
        <v>345</v>
      </c>
      <c r="G6" s="559"/>
      <c r="H6" s="559"/>
      <c r="I6" s="560"/>
      <c r="J6" s="87"/>
      <c r="K6" s="87"/>
      <c r="M6" s="82" t="s">
        <v>81</v>
      </c>
      <c r="N6" s="86" t="s">
        <v>82</v>
      </c>
    </row>
    <row r="7" spans="2:14" ht="30.75" customHeight="1" x14ac:dyDescent="0.15">
      <c r="B7" s="118" t="s">
        <v>226</v>
      </c>
      <c r="C7" s="134" t="s">
        <v>84</v>
      </c>
      <c r="D7" s="581" t="s">
        <v>227</v>
      </c>
      <c r="E7" s="581"/>
      <c r="F7" s="559" t="s">
        <v>346</v>
      </c>
      <c r="G7" s="559"/>
      <c r="H7" s="135" t="s">
        <v>229</v>
      </c>
      <c r="I7" s="136" t="s">
        <v>84</v>
      </c>
      <c r="J7" s="88"/>
      <c r="K7" s="88"/>
      <c r="M7" s="82" t="s">
        <v>88</v>
      </c>
      <c r="N7" s="86" t="s">
        <v>89</v>
      </c>
    </row>
    <row r="8" spans="2:14" ht="30.75" customHeight="1" x14ac:dyDescent="0.15">
      <c r="B8" s="118" t="s">
        <v>230</v>
      </c>
      <c r="C8" s="559" t="s">
        <v>231</v>
      </c>
      <c r="D8" s="559"/>
      <c r="E8" s="559"/>
      <c r="F8" s="559"/>
      <c r="G8" s="135" t="s">
        <v>232</v>
      </c>
      <c r="H8" s="571">
        <v>7550</v>
      </c>
      <c r="I8" s="572"/>
      <c r="J8" s="89"/>
      <c r="K8" s="89"/>
      <c r="M8" s="82" t="s">
        <v>93</v>
      </c>
      <c r="N8" s="86" t="s">
        <v>44</v>
      </c>
    </row>
    <row r="9" spans="2:14" ht="30.75" customHeight="1" x14ac:dyDescent="0.15">
      <c r="B9" s="118" t="s">
        <v>68</v>
      </c>
      <c r="C9" s="573" t="s">
        <v>81</v>
      </c>
      <c r="D9" s="573"/>
      <c r="E9" s="573"/>
      <c r="F9" s="573"/>
      <c r="G9" s="135" t="s">
        <v>233</v>
      </c>
      <c r="H9" s="574" t="s">
        <v>347</v>
      </c>
      <c r="I9" s="575"/>
      <c r="J9" s="90"/>
      <c r="K9" s="90"/>
      <c r="M9" s="91" t="s">
        <v>97</v>
      </c>
    </row>
    <row r="10" spans="2:14" ht="39" customHeight="1" x14ac:dyDescent="0.15">
      <c r="B10" s="118" t="s">
        <v>235</v>
      </c>
      <c r="C10" s="559" t="s">
        <v>348</v>
      </c>
      <c r="D10" s="559"/>
      <c r="E10" s="559"/>
      <c r="F10" s="559"/>
      <c r="G10" s="559"/>
      <c r="H10" s="559"/>
      <c r="I10" s="560"/>
      <c r="J10" s="92"/>
      <c r="K10" s="92"/>
      <c r="M10" s="91"/>
    </row>
    <row r="11" spans="2:14" ht="30.75" customHeight="1" x14ac:dyDescent="0.15">
      <c r="B11" s="118" t="s">
        <v>237</v>
      </c>
      <c r="C11" s="552" t="s">
        <v>349</v>
      </c>
      <c r="D11" s="552"/>
      <c r="E11" s="552"/>
      <c r="F11" s="552"/>
      <c r="G11" s="552"/>
      <c r="H11" s="552"/>
      <c r="I11" s="576"/>
      <c r="J11" s="88"/>
      <c r="K11" s="88"/>
      <c r="M11" s="91"/>
      <c r="N11" s="86" t="s">
        <v>102</v>
      </c>
    </row>
    <row r="12" spans="2:14" ht="30.75" customHeight="1" x14ac:dyDescent="0.15">
      <c r="B12" s="118" t="s">
        <v>239</v>
      </c>
      <c r="C12" s="550" t="s">
        <v>350</v>
      </c>
      <c r="D12" s="550"/>
      <c r="E12" s="550"/>
      <c r="F12" s="550"/>
      <c r="G12" s="135" t="s">
        <v>241</v>
      </c>
      <c r="H12" s="564" t="s">
        <v>106</v>
      </c>
      <c r="I12" s="565"/>
      <c r="J12" s="88"/>
      <c r="K12" s="88"/>
      <c r="M12" s="91" t="s">
        <v>107</v>
      </c>
      <c r="N12" s="86" t="s">
        <v>84</v>
      </c>
    </row>
    <row r="13" spans="2:14" ht="30.75" customHeight="1" x14ac:dyDescent="0.15">
      <c r="B13" s="118" t="s">
        <v>242</v>
      </c>
      <c r="C13" s="577" t="s">
        <v>243</v>
      </c>
      <c r="D13" s="577"/>
      <c r="E13" s="577"/>
      <c r="F13" s="577"/>
      <c r="G13" s="135" t="s">
        <v>244</v>
      </c>
      <c r="H13" s="552" t="s">
        <v>77</v>
      </c>
      <c r="I13" s="576"/>
      <c r="J13" s="88"/>
      <c r="K13" s="88"/>
      <c r="M13" s="91" t="s">
        <v>111</v>
      </c>
    </row>
    <row r="14" spans="2:14" ht="30" customHeight="1" x14ac:dyDescent="0.15">
      <c r="B14" s="118" t="s">
        <v>245</v>
      </c>
      <c r="C14" s="753" t="s">
        <v>351</v>
      </c>
      <c r="D14" s="754"/>
      <c r="E14" s="754"/>
      <c r="F14" s="754"/>
      <c r="G14" s="754"/>
      <c r="H14" s="754"/>
      <c r="I14" s="755"/>
      <c r="J14" s="92"/>
      <c r="K14" s="92"/>
      <c r="M14" s="91" t="s">
        <v>114</v>
      </c>
      <c r="N14" s="86"/>
    </row>
    <row r="15" spans="2:14" ht="30.75" customHeight="1" x14ac:dyDescent="0.15">
      <c r="B15" s="118" t="s">
        <v>247</v>
      </c>
      <c r="C15" s="550" t="s">
        <v>300</v>
      </c>
      <c r="D15" s="550"/>
      <c r="E15" s="550"/>
      <c r="F15" s="550"/>
      <c r="G15" s="550"/>
      <c r="H15" s="550"/>
      <c r="I15" s="551"/>
      <c r="J15" s="93"/>
      <c r="K15" s="93"/>
      <c r="M15" s="91" t="s">
        <v>118</v>
      </c>
      <c r="N15" s="86"/>
    </row>
    <row r="16" spans="2:14" ht="20.25" customHeight="1" x14ac:dyDescent="0.15">
      <c r="B16" s="118" t="s">
        <v>249</v>
      </c>
      <c r="C16" s="559" t="s">
        <v>352</v>
      </c>
      <c r="D16" s="559"/>
      <c r="E16" s="559"/>
      <c r="F16" s="559"/>
      <c r="G16" s="559"/>
      <c r="H16" s="559"/>
      <c r="I16" s="560"/>
      <c r="J16" s="94"/>
      <c r="K16" s="94"/>
      <c r="M16" s="91"/>
      <c r="N16" s="86"/>
    </row>
    <row r="17" spans="2:14" ht="30.75" customHeight="1" x14ac:dyDescent="0.15">
      <c r="B17" s="118" t="s">
        <v>251</v>
      </c>
      <c r="C17" s="552" t="s">
        <v>43</v>
      </c>
      <c r="D17" s="553"/>
      <c r="E17" s="553"/>
      <c r="F17" s="553"/>
      <c r="G17" s="553"/>
      <c r="H17" s="553"/>
      <c r="I17" s="554"/>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59" t="s">
        <v>353</v>
      </c>
      <c r="D19" s="559"/>
      <c r="E19" s="559"/>
      <c r="F19" s="559" t="s">
        <v>354</v>
      </c>
      <c r="G19" s="559"/>
      <c r="H19" s="559"/>
      <c r="I19" s="560"/>
      <c r="J19" s="94"/>
      <c r="K19" s="94"/>
      <c r="M19" s="91" t="s">
        <v>132</v>
      </c>
      <c r="N19" s="86"/>
    </row>
    <row r="20" spans="2:14" ht="39.75" customHeight="1" x14ac:dyDescent="0.15">
      <c r="B20" s="118" t="s">
        <v>258</v>
      </c>
      <c r="C20" s="561" t="s">
        <v>252</v>
      </c>
      <c r="D20" s="562"/>
      <c r="E20" s="563"/>
      <c r="F20" s="564" t="s">
        <v>252</v>
      </c>
      <c r="G20" s="564"/>
      <c r="H20" s="564"/>
      <c r="I20" s="565"/>
      <c r="J20" s="88"/>
      <c r="K20" s="88"/>
      <c r="M20" s="91"/>
      <c r="N20" s="86"/>
    </row>
    <row r="21" spans="2:14" ht="361.25" customHeight="1" x14ac:dyDescent="0.15">
      <c r="B21" s="118" t="s">
        <v>259</v>
      </c>
      <c r="C21" s="566" t="s">
        <v>355</v>
      </c>
      <c r="D21" s="567"/>
      <c r="E21" s="568"/>
      <c r="F21" s="750" t="s">
        <v>462</v>
      </c>
      <c r="G21" s="751"/>
      <c r="H21" s="751"/>
      <c r="I21" s="752"/>
      <c r="J21" s="93"/>
      <c r="K21" s="93"/>
      <c r="M21" s="97"/>
      <c r="N21" s="86"/>
    </row>
    <row r="22" spans="2:14" ht="23.25" customHeight="1" x14ac:dyDescent="0.15">
      <c r="B22" s="118" t="s">
        <v>262</v>
      </c>
      <c r="C22" s="545">
        <v>44562</v>
      </c>
      <c r="D22" s="569"/>
      <c r="E22" s="570"/>
      <c r="F22" s="135" t="s">
        <v>263</v>
      </c>
      <c r="G22" s="239">
        <v>0.1</v>
      </c>
      <c r="H22" s="135" t="s">
        <v>264</v>
      </c>
      <c r="I22" s="240">
        <v>0.1</v>
      </c>
      <c r="J22" s="98"/>
      <c r="K22" s="98"/>
      <c r="M22" s="97"/>
    </row>
    <row r="23" spans="2:14" ht="27" customHeight="1" x14ac:dyDescent="0.15">
      <c r="B23" s="118" t="s">
        <v>265</v>
      </c>
      <c r="C23" s="545">
        <v>44926</v>
      </c>
      <c r="D23" s="525"/>
      <c r="E23" s="546"/>
      <c r="F23" s="135" t="s">
        <v>266</v>
      </c>
      <c r="G23" s="547">
        <v>0.3</v>
      </c>
      <c r="H23" s="548"/>
      <c r="I23" s="549"/>
      <c r="J23" s="99"/>
      <c r="K23" s="99"/>
      <c r="M23" s="97"/>
    </row>
    <row r="24" spans="2:14" ht="30.75" customHeight="1" x14ac:dyDescent="0.15">
      <c r="B24" s="222" t="s">
        <v>267</v>
      </c>
      <c r="C24" s="521" t="s">
        <v>268</v>
      </c>
      <c r="D24" s="522"/>
      <c r="E24" s="523"/>
      <c r="F24" s="223" t="s">
        <v>269</v>
      </c>
      <c r="G24" s="524" t="s">
        <v>46</v>
      </c>
      <c r="H24" s="525"/>
      <c r="I24" s="526"/>
      <c r="J24" s="96"/>
      <c r="K24" s="96"/>
      <c r="M24" s="97"/>
    </row>
    <row r="25" spans="2:14" ht="22.5" customHeight="1" x14ac:dyDescent="0.15">
      <c r="B25" s="512" t="s">
        <v>270</v>
      </c>
      <c r="C25" s="513"/>
      <c r="D25" s="513"/>
      <c r="E25" s="513"/>
      <c r="F25" s="513"/>
      <c r="G25" s="513"/>
      <c r="H25" s="513"/>
      <c r="I25" s="514"/>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28">
        <f>8.33%*$G$23</f>
        <v>2.4989999999999998E-2</v>
      </c>
      <c r="D27" s="228">
        <f>8.33%*$G$23</f>
        <v>2.4989999999999998E-2</v>
      </c>
      <c r="E27" s="131">
        <f>D27/C27</f>
        <v>1</v>
      </c>
      <c r="F27" s="741">
        <f>SUM(C27:C38)</f>
        <v>0.29988000000000004</v>
      </c>
      <c r="G27" s="741">
        <f>SUM(D27:D38)</f>
        <v>0.29988000000000004</v>
      </c>
      <c r="H27" s="241">
        <f>+(D27*100%)/$G$23</f>
        <v>8.3299999999999999E-2</v>
      </c>
      <c r="I27" s="539">
        <f>G27+I22</f>
        <v>0.39988000000000001</v>
      </c>
      <c r="J27" s="94"/>
      <c r="K27" s="94"/>
      <c r="M27" s="97"/>
    </row>
    <row r="28" spans="2:14" ht="15.5" customHeight="1" x14ac:dyDescent="0.15">
      <c r="B28" s="100" t="s">
        <v>158</v>
      </c>
      <c r="C28" s="228">
        <f>8.33%*$G$23</f>
        <v>2.4989999999999998E-2</v>
      </c>
      <c r="D28" s="228">
        <f>8.33%*$G$23</f>
        <v>2.4989999999999998E-2</v>
      </c>
      <c r="E28" s="131">
        <f>D28/C28</f>
        <v>1</v>
      </c>
      <c r="F28" s="742"/>
      <c r="G28" s="742"/>
      <c r="H28" s="241">
        <f>+IF(D28="","",((D28*100%)/$G$23)+H27)</f>
        <v>0.1666</v>
      </c>
      <c r="I28" s="540"/>
      <c r="J28" s="94"/>
      <c r="K28" s="94"/>
      <c r="M28" s="97"/>
    </row>
    <row r="29" spans="2:14" ht="15.5" customHeight="1" x14ac:dyDescent="0.15">
      <c r="B29" s="100" t="s">
        <v>159</v>
      </c>
      <c r="C29" s="228">
        <f t="shared" ref="C29:D38" si="0">8.33%*$G$23</f>
        <v>2.4989999999999998E-2</v>
      </c>
      <c r="D29" s="228">
        <f t="shared" si="0"/>
        <v>2.4989999999999998E-2</v>
      </c>
      <c r="E29" s="131">
        <f>D29/C29</f>
        <v>1</v>
      </c>
      <c r="F29" s="742"/>
      <c r="G29" s="742"/>
      <c r="H29" s="241">
        <f>+IF(D29="","",((D29*100%)/$G$23)+H28)</f>
        <v>0.24990000000000001</v>
      </c>
      <c r="I29" s="540"/>
      <c r="J29" s="94"/>
      <c r="K29" s="94"/>
      <c r="M29" s="97"/>
    </row>
    <row r="30" spans="2:14" ht="15.5" customHeight="1" x14ac:dyDescent="0.15">
      <c r="B30" s="100" t="s">
        <v>160</v>
      </c>
      <c r="C30" s="228">
        <f t="shared" si="0"/>
        <v>2.4989999999999998E-2</v>
      </c>
      <c r="D30" s="228">
        <f t="shared" si="0"/>
        <v>2.4989999999999998E-2</v>
      </c>
      <c r="E30" s="131">
        <f t="shared" ref="E30:E31" si="1">D30/C30</f>
        <v>1</v>
      </c>
      <c r="F30" s="742"/>
      <c r="G30" s="742"/>
      <c r="H30" s="241">
        <f t="shared" ref="H30:H38" si="2">+IF(D30="","",((D30*100%)/$G$23)+H29)</f>
        <v>0.3332</v>
      </c>
      <c r="I30" s="540"/>
      <c r="J30" s="94"/>
      <c r="K30" s="94"/>
      <c r="M30" s="97"/>
    </row>
    <row r="31" spans="2:14" ht="15.5" customHeight="1" x14ac:dyDescent="0.15">
      <c r="B31" s="100" t="s">
        <v>161</v>
      </c>
      <c r="C31" s="228">
        <f t="shared" si="0"/>
        <v>2.4989999999999998E-2</v>
      </c>
      <c r="D31" s="228">
        <f t="shared" si="0"/>
        <v>2.4989999999999998E-2</v>
      </c>
      <c r="E31" s="131">
        <f t="shared" si="1"/>
        <v>1</v>
      </c>
      <c r="F31" s="742"/>
      <c r="G31" s="742"/>
      <c r="H31" s="241">
        <f t="shared" si="2"/>
        <v>0.41649999999999998</v>
      </c>
      <c r="I31" s="540"/>
      <c r="J31" s="94"/>
      <c r="K31" s="94"/>
      <c r="M31" s="97"/>
    </row>
    <row r="32" spans="2:14" ht="15.5" customHeight="1" x14ac:dyDescent="0.15">
      <c r="B32" s="100" t="s">
        <v>162</v>
      </c>
      <c r="C32" s="228">
        <f t="shared" si="0"/>
        <v>2.4989999999999998E-2</v>
      </c>
      <c r="D32" s="228">
        <f t="shared" si="0"/>
        <v>2.4989999999999998E-2</v>
      </c>
      <c r="E32" s="131">
        <f>D32/C32</f>
        <v>1</v>
      </c>
      <c r="F32" s="742"/>
      <c r="G32" s="742"/>
      <c r="H32" s="241">
        <f t="shared" si="2"/>
        <v>0.49979999999999997</v>
      </c>
      <c r="I32" s="540"/>
      <c r="J32" s="94"/>
      <c r="K32" s="94"/>
      <c r="M32" s="97"/>
    </row>
    <row r="33" spans="2:11" ht="19.5" customHeight="1" x14ac:dyDescent="0.15">
      <c r="B33" s="100" t="s">
        <v>163</v>
      </c>
      <c r="C33" s="228">
        <f t="shared" si="0"/>
        <v>2.4989999999999998E-2</v>
      </c>
      <c r="D33" s="228">
        <f t="shared" si="0"/>
        <v>2.4989999999999998E-2</v>
      </c>
      <c r="E33" s="131">
        <f t="shared" ref="E33:E38" si="3">D33/C33</f>
        <v>1</v>
      </c>
      <c r="F33" s="742"/>
      <c r="G33" s="742"/>
      <c r="H33" s="241">
        <f t="shared" si="2"/>
        <v>0.58309999999999995</v>
      </c>
      <c r="I33" s="540"/>
      <c r="J33" s="102"/>
      <c r="K33" s="102"/>
    </row>
    <row r="34" spans="2:11" ht="19.5" customHeight="1" x14ac:dyDescent="0.15">
      <c r="B34" s="100" t="s">
        <v>164</v>
      </c>
      <c r="C34" s="228">
        <f t="shared" si="0"/>
        <v>2.4989999999999998E-2</v>
      </c>
      <c r="D34" s="228">
        <f>+C34</f>
        <v>2.4989999999999998E-2</v>
      </c>
      <c r="E34" s="131">
        <f t="shared" si="3"/>
        <v>1</v>
      </c>
      <c r="F34" s="742"/>
      <c r="G34" s="742"/>
      <c r="H34" s="241">
        <f t="shared" si="2"/>
        <v>0.66639999999999999</v>
      </c>
      <c r="I34" s="540"/>
      <c r="J34" s="102"/>
      <c r="K34" s="102"/>
    </row>
    <row r="35" spans="2:11" ht="19.5" customHeight="1" x14ac:dyDescent="0.15">
      <c r="B35" s="100" t="s">
        <v>165</v>
      </c>
      <c r="C35" s="228">
        <f t="shared" si="0"/>
        <v>2.4989999999999998E-2</v>
      </c>
      <c r="D35" s="228">
        <f t="shared" si="0"/>
        <v>2.4989999999999998E-2</v>
      </c>
      <c r="E35" s="131">
        <f t="shared" si="3"/>
        <v>1</v>
      </c>
      <c r="F35" s="742"/>
      <c r="G35" s="742"/>
      <c r="H35" s="241">
        <f t="shared" si="2"/>
        <v>0.74970000000000003</v>
      </c>
      <c r="I35" s="540"/>
      <c r="J35" s="102"/>
      <c r="K35" s="102"/>
    </row>
    <row r="36" spans="2:11" ht="19.5" customHeight="1" x14ac:dyDescent="0.15">
      <c r="B36" s="100" t="s">
        <v>166</v>
      </c>
      <c r="C36" s="228">
        <f t="shared" si="0"/>
        <v>2.4989999999999998E-2</v>
      </c>
      <c r="D36" s="228">
        <f>+C36</f>
        <v>2.4989999999999998E-2</v>
      </c>
      <c r="E36" s="131">
        <f t="shared" si="3"/>
        <v>1</v>
      </c>
      <c r="F36" s="742"/>
      <c r="G36" s="742"/>
      <c r="H36" s="241">
        <f t="shared" si="2"/>
        <v>0.83300000000000007</v>
      </c>
      <c r="I36" s="540"/>
      <c r="J36" s="102"/>
      <c r="K36" s="102"/>
    </row>
    <row r="37" spans="2:11" ht="19.5" customHeight="1" x14ac:dyDescent="0.15">
      <c r="B37" s="100" t="s">
        <v>167</v>
      </c>
      <c r="C37" s="228">
        <f t="shared" si="0"/>
        <v>2.4989999999999998E-2</v>
      </c>
      <c r="D37" s="228">
        <v>2.4989999999999998E-2</v>
      </c>
      <c r="E37" s="131">
        <f t="shared" si="3"/>
        <v>1</v>
      </c>
      <c r="F37" s="742"/>
      <c r="G37" s="742"/>
      <c r="H37" s="241">
        <f t="shared" si="2"/>
        <v>0.91630000000000011</v>
      </c>
      <c r="I37" s="540"/>
      <c r="J37" s="102"/>
      <c r="K37" s="102"/>
    </row>
    <row r="38" spans="2:11" ht="19.5" customHeight="1" x14ac:dyDescent="0.15">
      <c r="B38" s="100" t="s">
        <v>168</v>
      </c>
      <c r="C38" s="228">
        <f t="shared" si="0"/>
        <v>2.4989999999999998E-2</v>
      </c>
      <c r="D38" s="228">
        <v>2.4989999999999998E-2</v>
      </c>
      <c r="E38" s="131">
        <f t="shared" si="3"/>
        <v>1</v>
      </c>
      <c r="F38" s="743"/>
      <c r="G38" s="743"/>
      <c r="H38" s="241">
        <f t="shared" si="2"/>
        <v>0.99960000000000016</v>
      </c>
      <c r="I38" s="541"/>
      <c r="J38" s="102"/>
      <c r="K38" s="102"/>
    </row>
    <row r="39" spans="2:11" ht="78.75" customHeight="1" x14ac:dyDescent="0.15">
      <c r="B39" s="119" t="s">
        <v>279</v>
      </c>
      <c r="C39" s="744" t="s">
        <v>356</v>
      </c>
      <c r="D39" s="745"/>
      <c r="E39" s="745"/>
      <c r="F39" s="745"/>
      <c r="G39" s="745"/>
      <c r="H39" s="745"/>
      <c r="I39" s="746"/>
      <c r="J39" s="103"/>
      <c r="K39" s="103"/>
    </row>
    <row r="40" spans="2:11" ht="47.75" customHeight="1" x14ac:dyDescent="0.15">
      <c r="B40" s="530"/>
      <c r="C40" s="531"/>
      <c r="D40" s="531"/>
      <c r="E40" s="531"/>
      <c r="F40" s="531"/>
      <c r="G40" s="531"/>
      <c r="H40" s="531"/>
      <c r="I40" s="532"/>
      <c r="J40" s="85"/>
      <c r="K40" s="85"/>
    </row>
    <row r="41" spans="2:11" ht="47.75" customHeight="1" x14ac:dyDescent="0.15">
      <c r="B41" s="533"/>
      <c r="C41" s="534"/>
      <c r="D41" s="534"/>
      <c r="E41" s="534"/>
      <c r="F41" s="534"/>
      <c r="G41" s="534"/>
      <c r="H41" s="534"/>
      <c r="I41" s="535"/>
      <c r="J41" s="103"/>
      <c r="K41" s="103"/>
    </row>
    <row r="42" spans="2:11" ht="47.75" customHeight="1" x14ac:dyDescent="0.15">
      <c r="B42" s="533"/>
      <c r="C42" s="534"/>
      <c r="D42" s="534"/>
      <c r="E42" s="534"/>
      <c r="F42" s="534"/>
      <c r="G42" s="534"/>
      <c r="H42" s="534"/>
      <c r="I42" s="535"/>
      <c r="J42" s="103"/>
      <c r="K42" s="103"/>
    </row>
    <row r="43" spans="2:11" ht="47.75" customHeight="1" x14ac:dyDescent="0.15">
      <c r="B43" s="533"/>
      <c r="C43" s="534"/>
      <c r="D43" s="534"/>
      <c r="E43" s="534"/>
      <c r="F43" s="534"/>
      <c r="G43" s="534"/>
      <c r="H43" s="534"/>
      <c r="I43" s="535"/>
      <c r="J43" s="103"/>
      <c r="K43" s="103"/>
    </row>
    <row r="44" spans="2:11" ht="47.75" customHeight="1" x14ac:dyDescent="0.15">
      <c r="B44" s="536"/>
      <c r="C44" s="537"/>
      <c r="D44" s="537"/>
      <c r="E44" s="537"/>
      <c r="F44" s="537"/>
      <c r="G44" s="537"/>
      <c r="H44" s="537"/>
      <c r="I44" s="538"/>
      <c r="J44" s="84"/>
      <c r="K44" s="84"/>
    </row>
    <row r="45" spans="2:11" ht="47.75" customHeight="1" x14ac:dyDescent="0.15">
      <c r="B45" s="150"/>
      <c r="C45" s="164" t="s">
        <v>463</v>
      </c>
      <c r="D45" s="151"/>
      <c r="E45" s="151"/>
      <c r="F45" s="151"/>
      <c r="G45" s="151"/>
      <c r="H45" s="151"/>
      <c r="I45" s="151"/>
      <c r="J45" s="84"/>
      <c r="K45" s="84"/>
    </row>
    <row r="46" spans="2:11" ht="43.25" customHeight="1" x14ac:dyDescent="0.15">
      <c r="B46" s="748" t="s">
        <v>280</v>
      </c>
      <c r="C46" s="729" t="s">
        <v>464</v>
      </c>
      <c r="D46" s="730"/>
      <c r="E46" s="730"/>
      <c r="F46" s="731"/>
      <c r="G46" s="153"/>
      <c r="H46" s="144" t="s">
        <v>148</v>
      </c>
      <c r="I46" s="145" t="s">
        <v>307</v>
      </c>
      <c r="J46" s="104"/>
      <c r="K46" s="104"/>
    </row>
    <row r="47" spans="2:11" ht="54.5" customHeight="1" x14ac:dyDescent="0.15">
      <c r="B47" s="749"/>
      <c r="C47" s="732"/>
      <c r="D47" s="733"/>
      <c r="E47" s="733"/>
      <c r="F47" s="734"/>
      <c r="G47" s="146" t="s">
        <v>357</v>
      </c>
      <c r="H47" s="157">
        <v>157</v>
      </c>
      <c r="I47" s="157">
        <v>2824</v>
      </c>
      <c r="J47" s="104"/>
      <c r="K47" s="104"/>
    </row>
    <row r="48" spans="2:11" ht="54.5" customHeight="1" x14ac:dyDescent="0.15">
      <c r="B48" s="749"/>
      <c r="C48" s="732"/>
      <c r="D48" s="733"/>
      <c r="E48" s="733"/>
      <c r="F48" s="734"/>
      <c r="G48" s="147" t="s">
        <v>358</v>
      </c>
      <c r="H48" s="159" t="s">
        <v>432</v>
      </c>
      <c r="I48" s="159" t="s">
        <v>433</v>
      </c>
      <c r="J48" s="104"/>
      <c r="K48" s="104"/>
    </row>
    <row r="49" spans="2:13" ht="54.5" customHeight="1" x14ac:dyDescent="0.15">
      <c r="B49" s="749"/>
      <c r="C49" s="732"/>
      <c r="D49" s="733"/>
      <c r="E49" s="733"/>
      <c r="F49" s="734"/>
      <c r="G49" s="147" t="s">
        <v>359</v>
      </c>
      <c r="H49" s="159" t="s">
        <v>434</v>
      </c>
      <c r="I49" s="159" t="s">
        <v>435</v>
      </c>
      <c r="J49" s="104"/>
      <c r="K49" s="104"/>
    </row>
    <row r="50" spans="2:13" ht="54.5" customHeight="1" x14ac:dyDescent="0.2">
      <c r="B50" s="749"/>
      <c r="C50" s="735"/>
      <c r="D50" s="736"/>
      <c r="E50" s="736"/>
      <c r="F50" s="737"/>
      <c r="G50" s="147" t="s">
        <v>360</v>
      </c>
      <c r="H50" s="160" t="s">
        <v>436</v>
      </c>
      <c r="I50" s="160" t="s">
        <v>437</v>
      </c>
      <c r="J50" s="104"/>
      <c r="K50" s="104"/>
      <c r="M50"/>
    </row>
    <row r="51" spans="2:13" ht="63" customHeight="1" x14ac:dyDescent="0.15">
      <c r="B51" s="749"/>
      <c r="C51" s="740" t="s">
        <v>465</v>
      </c>
      <c r="D51" s="730"/>
      <c r="E51" s="730"/>
      <c r="F51" s="731"/>
      <c r="G51" s="146" t="s">
        <v>361</v>
      </c>
      <c r="H51" s="160">
        <v>18</v>
      </c>
      <c r="I51" s="160">
        <v>482</v>
      </c>
      <c r="J51" s="104"/>
      <c r="K51" s="104"/>
    </row>
    <row r="52" spans="2:13" ht="63" customHeight="1" x14ac:dyDescent="0.15">
      <c r="B52" s="749"/>
      <c r="C52" s="732"/>
      <c r="D52" s="733"/>
      <c r="E52" s="733"/>
      <c r="F52" s="734"/>
      <c r="G52" s="147" t="s">
        <v>362</v>
      </c>
      <c r="H52" s="160">
        <v>48</v>
      </c>
      <c r="I52" s="160">
        <v>485</v>
      </c>
      <c r="J52" s="104"/>
      <c r="K52" s="104"/>
    </row>
    <row r="53" spans="2:13" ht="63" customHeight="1" x14ac:dyDescent="0.15">
      <c r="B53" s="749"/>
      <c r="C53" s="732"/>
      <c r="D53" s="733"/>
      <c r="E53" s="733"/>
      <c r="F53" s="734"/>
      <c r="G53" s="147" t="s">
        <v>363</v>
      </c>
      <c r="H53" s="160">
        <v>2</v>
      </c>
      <c r="I53" s="160">
        <v>72</v>
      </c>
      <c r="J53" s="104"/>
      <c r="K53" s="104"/>
    </row>
    <row r="54" spans="2:13" ht="63" customHeight="1" x14ac:dyDescent="0.15">
      <c r="B54" s="749"/>
      <c r="C54" s="735"/>
      <c r="D54" s="736"/>
      <c r="E54" s="736"/>
      <c r="F54" s="737"/>
      <c r="G54" s="147" t="s">
        <v>438</v>
      </c>
      <c r="H54" s="160">
        <v>59</v>
      </c>
      <c r="I54" s="160">
        <v>270</v>
      </c>
      <c r="J54" s="104"/>
      <c r="K54" s="104"/>
    </row>
    <row r="55" spans="2:13" ht="52.75" customHeight="1" x14ac:dyDescent="0.15">
      <c r="B55" s="749"/>
      <c r="C55" s="729" t="s">
        <v>440</v>
      </c>
      <c r="D55" s="730"/>
      <c r="E55" s="730"/>
      <c r="F55" s="731"/>
      <c r="G55" s="146" t="s">
        <v>364</v>
      </c>
      <c r="H55" s="157">
        <v>9</v>
      </c>
      <c r="I55" s="157">
        <v>73</v>
      </c>
      <c r="J55" s="104">
        <f>+I55+H55+9</f>
        <v>91</v>
      </c>
      <c r="K55" s="104"/>
    </row>
    <row r="56" spans="2:13" ht="52.75" customHeight="1" x14ac:dyDescent="0.15">
      <c r="B56" s="749"/>
      <c r="C56" s="732"/>
      <c r="D56" s="733"/>
      <c r="E56" s="733"/>
      <c r="F56" s="734"/>
      <c r="G56" s="147" t="s">
        <v>365</v>
      </c>
      <c r="H56" s="157">
        <v>0</v>
      </c>
      <c r="I56" s="157">
        <v>59</v>
      </c>
      <c r="J56" s="104"/>
      <c r="K56" s="104"/>
    </row>
    <row r="57" spans="2:13" ht="52.75" customHeight="1" x14ac:dyDescent="0.15">
      <c r="B57" s="749"/>
      <c r="C57" s="735"/>
      <c r="D57" s="736"/>
      <c r="E57" s="736"/>
      <c r="F57" s="737"/>
      <c r="G57" s="147" t="s">
        <v>366</v>
      </c>
      <c r="H57" s="157">
        <v>0</v>
      </c>
      <c r="I57" s="157">
        <v>27</v>
      </c>
      <c r="J57" s="104"/>
      <c r="K57" s="104"/>
    </row>
    <row r="58" spans="2:13" ht="292.25" customHeight="1" x14ac:dyDescent="0.15">
      <c r="B58" s="148" t="s">
        <v>281</v>
      </c>
      <c r="C58" s="747" t="s">
        <v>439</v>
      </c>
      <c r="D58" s="747"/>
      <c r="E58" s="747"/>
      <c r="F58" s="747"/>
      <c r="G58" s="747"/>
      <c r="H58" s="747"/>
      <c r="I58" s="747"/>
      <c r="J58" s="104"/>
      <c r="K58" s="104"/>
    </row>
    <row r="59" spans="2:13" ht="68.5" customHeight="1" x14ac:dyDescent="0.15">
      <c r="B59" s="120" t="s">
        <v>282</v>
      </c>
      <c r="C59" s="518" t="s">
        <v>458</v>
      </c>
      <c r="D59" s="519"/>
      <c r="E59" s="519"/>
      <c r="F59" s="519"/>
      <c r="G59" s="519"/>
      <c r="H59" s="519"/>
      <c r="I59" s="520"/>
      <c r="J59" s="104"/>
      <c r="K59" s="104"/>
    </row>
    <row r="60" spans="2:13" ht="22.5" customHeight="1" x14ac:dyDescent="0.15">
      <c r="B60" s="512" t="s">
        <v>283</v>
      </c>
      <c r="C60" s="513"/>
      <c r="D60" s="513"/>
      <c r="E60" s="513"/>
      <c r="F60" s="513"/>
      <c r="G60" s="513"/>
      <c r="H60" s="513"/>
      <c r="I60" s="514"/>
      <c r="J60" s="104"/>
      <c r="K60" s="104"/>
    </row>
    <row r="61" spans="2:13" ht="22.5" customHeight="1" x14ac:dyDescent="0.15">
      <c r="B61" s="508" t="s">
        <v>284</v>
      </c>
      <c r="C61" s="141" t="s">
        <v>285</v>
      </c>
      <c r="D61" s="510" t="s">
        <v>286</v>
      </c>
      <c r="E61" s="510"/>
      <c r="F61" s="510"/>
      <c r="G61" s="510" t="s">
        <v>287</v>
      </c>
      <c r="H61" s="510"/>
      <c r="I61" s="511"/>
      <c r="J61" s="105"/>
      <c r="K61" s="105"/>
    </row>
    <row r="62" spans="2:13" ht="30.75" customHeight="1" x14ac:dyDescent="0.15">
      <c r="B62" s="509"/>
      <c r="C62" s="142"/>
      <c r="D62" s="591"/>
      <c r="E62" s="591"/>
      <c r="F62" s="591"/>
      <c r="G62" s="591"/>
      <c r="H62" s="591"/>
      <c r="I62" s="592"/>
      <c r="J62" s="105"/>
      <c r="K62" s="105"/>
    </row>
    <row r="63" spans="2:13" ht="32.25" customHeight="1" x14ac:dyDescent="0.15">
      <c r="B63" s="121" t="s">
        <v>288</v>
      </c>
      <c r="C63" s="738" t="s">
        <v>459</v>
      </c>
      <c r="D63" s="738"/>
      <c r="E63" s="738"/>
      <c r="F63" s="738"/>
      <c r="G63" s="738"/>
      <c r="H63" s="738"/>
      <c r="I63" s="739"/>
      <c r="J63" s="106"/>
      <c r="K63" s="106"/>
    </row>
    <row r="64" spans="2:13" ht="28.5" customHeight="1" x14ac:dyDescent="0.15">
      <c r="B64" s="122" t="s">
        <v>290</v>
      </c>
      <c r="C64" s="738" t="s">
        <v>459</v>
      </c>
      <c r="D64" s="738"/>
      <c r="E64" s="738"/>
      <c r="F64" s="738"/>
      <c r="G64" s="738"/>
      <c r="H64" s="738"/>
      <c r="I64" s="739"/>
      <c r="J64" s="106"/>
      <c r="K64" s="106"/>
    </row>
    <row r="65" spans="2:11" ht="30" customHeight="1" x14ac:dyDescent="0.15">
      <c r="B65" s="120" t="s">
        <v>291</v>
      </c>
      <c r="C65" s="738" t="s">
        <v>460</v>
      </c>
      <c r="D65" s="738"/>
      <c r="E65" s="738"/>
      <c r="F65" s="738"/>
      <c r="G65" s="738"/>
      <c r="H65" s="738"/>
      <c r="I65" s="739"/>
      <c r="J65" s="107"/>
      <c r="K65" s="107"/>
    </row>
    <row r="66" spans="2:11" ht="31.5" customHeight="1" thickBot="1" x14ac:dyDescent="0.2">
      <c r="B66" s="116" t="s">
        <v>293</v>
      </c>
      <c r="C66" s="738" t="s">
        <v>461</v>
      </c>
      <c r="D66" s="738"/>
      <c r="E66" s="738"/>
      <c r="F66" s="738"/>
      <c r="G66" s="738"/>
      <c r="H66" s="738"/>
      <c r="I66" s="739"/>
      <c r="J66" s="108"/>
      <c r="K66" s="108"/>
    </row>
    <row r="67" spans="2:11" x14ac:dyDescent="0.15">
      <c r="B67" s="109"/>
      <c r="C67" s="110"/>
      <c r="D67" s="110"/>
      <c r="E67" s="111"/>
      <c r="F67" s="111"/>
      <c r="G67" s="117"/>
      <c r="H67" s="113"/>
      <c r="I67" s="110"/>
      <c r="J67" s="108"/>
      <c r="K67" s="108"/>
    </row>
    <row r="68" spans="2:11" x14ac:dyDescent="0.15">
      <c r="B68" s="109"/>
      <c r="C68" s="110"/>
      <c r="D68" s="110"/>
      <c r="E68" s="111"/>
      <c r="F68" s="111"/>
      <c r="G68" s="117"/>
      <c r="H68" s="113"/>
      <c r="I68" s="110"/>
      <c r="J68" s="108"/>
      <c r="K68" s="108"/>
    </row>
    <row r="69" spans="2:11" x14ac:dyDescent="0.15">
      <c r="B69" s="109"/>
      <c r="C69" s="110"/>
      <c r="D69" s="110"/>
      <c r="E69" s="111"/>
      <c r="F69" s="111"/>
      <c r="G69" s="117"/>
      <c r="H69" s="113"/>
      <c r="I69" s="110"/>
      <c r="J69" s="108"/>
      <c r="K69" s="108"/>
    </row>
    <row r="70" spans="2:11" x14ac:dyDescent="0.15">
      <c r="B70" s="109"/>
      <c r="C70" s="110"/>
      <c r="D70" s="110"/>
      <c r="E70" s="111"/>
      <c r="F70" s="111"/>
      <c r="G70" s="117"/>
      <c r="H70" s="113"/>
      <c r="I70" s="110"/>
      <c r="J70" s="108"/>
      <c r="K70" s="108"/>
    </row>
    <row r="71" spans="2:11" x14ac:dyDescent="0.15">
      <c r="B71" s="109"/>
      <c r="C71" s="110"/>
      <c r="D71" s="110"/>
      <c r="E71" s="111"/>
      <c r="F71" s="111"/>
      <c r="G71" s="117"/>
      <c r="H71" s="113"/>
      <c r="I71" s="110"/>
      <c r="J71" s="108"/>
      <c r="K71" s="108"/>
    </row>
    <row r="72" spans="2:11" ht="25.5" customHeight="1" x14ac:dyDescent="0.15">
      <c r="B72" s="109"/>
      <c r="C72" s="110"/>
      <c r="D72" s="110"/>
      <c r="E72" s="111"/>
      <c r="F72" s="111"/>
      <c r="G72" s="117"/>
      <c r="H72" s="113"/>
      <c r="I72" s="110"/>
      <c r="J72" s="108"/>
      <c r="K72" s="108"/>
    </row>
  </sheetData>
  <sheetProtection algorithmName="SHA-512" hashValue="ypz4ymHtswJsOWaxMEiJRUugPuo7Rjn4HN0arBtnUYL2V+ZYvm3X5WKlZgapm4Pgal1IyxIQWbbRSMSM7WUlYQ==" saltValue="8BaFjSfgMD2N0Eq7DKl1wQ==" spinCount="100000" sheet="1" objects="1" scenarios="1"/>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8:I58"/>
    <mergeCell ref="C59:I59"/>
    <mergeCell ref="B46:B57"/>
    <mergeCell ref="C24:E24"/>
    <mergeCell ref="G24:I24"/>
    <mergeCell ref="B25:I25"/>
    <mergeCell ref="F27:F38"/>
    <mergeCell ref="G27:G38"/>
    <mergeCell ref="I27:I38"/>
    <mergeCell ref="B60:I60"/>
    <mergeCell ref="C55:F57"/>
    <mergeCell ref="C46:F50"/>
    <mergeCell ref="C66:I66"/>
    <mergeCell ref="B61:B62"/>
    <mergeCell ref="D61:F61"/>
    <mergeCell ref="G61:I61"/>
    <mergeCell ref="D62:F62"/>
    <mergeCell ref="G62:I62"/>
    <mergeCell ref="C63:I63"/>
    <mergeCell ref="C64:I64"/>
    <mergeCell ref="C65:I65"/>
    <mergeCell ref="C51:F54"/>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view="pageBreakPreview" topLeftCell="A20" zoomScale="85" zoomScaleNormal="85" zoomScaleSheetLayoutView="85" zoomScalePageLayoutView="85" workbookViewId="0">
      <selection activeCell="A20" sqref="A1:XFD1048576"/>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4.33203125" style="114" customWidth="1"/>
    <col min="8" max="8" width="24.5" style="83" customWidth="1"/>
    <col min="9" max="9" width="26" style="83" customWidth="1"/>
    <col min="10" max="15" width="10.6640625" style="81"/>
    <col min="16" max="16384" width="10.6640625" style="83"/>
  </cols>
  <sheetData>
    <row r="1" spans="2:9" ht="37.5" customHeight="1" x14ac:dyDescent="0.15">
      <c r="B1" s="582"/>
      <c r="C1" s="585" t="s">
        <v>1</v>
      </c>
      <c r="D1" s="585"/>
      <c r="E1" s="585"/>
      <c r="F1" s="585"/>
      <c r="G1" s="585"/>
      <c r="H1" s="585"/>
      <c r="I1" s="586"/>
    </row>
    <row r="2" spans="2:9" ht="37.5" customHeight="1" x14ac:dyDescent="0.15">
      <c r="B2" s="583"/>
      <c r="C2" s="589" t="s">
        <v>218</v>
      </c>
      <c r="D2" s="589"/>
      <c r="E2" s="589"/>
      <c r="F2" s="589"/>
      <c r="G2" s="589"/>
      <c r="H2" s="589"/>
      <c r="I2" s="587"/>
    </row>
    <row r="3" spans="2:9" ht="37.5" customHeight="1" thickBot="1" x14ac:dyDescent="0.2">
      <c r="B3" s="584"/>
      <c r="C3" s="590" t="s">
        <v>219</v>
      </c>
      <c r="D3" s="590"/>
      <c r="E3" s="590"/>
      <c r="F3" s="590" t="s">
        <v>220</v>
      </c>
      <c r="G3" s="590"/>
      <c r="H3" s="590"/>
      <c r="I3" s="588"/>
    </row>
    <row r="4" spans="2:9" ht="23.25" customHeight="1" x14ac:dyDescent="0.15">
      <c r="B4" s="578" t="s">
        <v>221</v>
      </c>
      <c r="C4" s="579"/>
      <c r="D4" s="579"/>
      <c r="E4" s="579"/>
      <c r="F4" s="579"/>
      <c r="G4" s="579"/>
      <c r="H4" s="579"/>
      <c r="I4" s="580"/>
    </row>
    <row r="5" spans="2:9" ht="24" customHeight="1" x14ac:dyDescent="0.15">
      <c r="B5" s="512" t="s">
        <v>222</v>
      </c>
      <c r="C5" s="513"/>
      <c r="D5" s="513"/>
      <c r="E5" s="513"/>
      <c r="F5" s="513"/>
      <c r="G5" s="513"/>
      <c r="H5" s="513"/>
      <c r="I5" s="514"/>
    </row>
    <row r="6" spans="2:9" ht="30.75" customHeight="1" x14ac:dyDescent="0.15">
      <c r="B6" s="118" t="s">
        <v>223</v>
      </c>
      <c r="C6" s="134">
        <v>6</v>
      </c>
      <c r="D6" s="581" t="s">
        <v>224</v>
      </c>
      <c r="E6" s="581"/>
      <c r="F6" s="559" t="s">
        <v>367</v>
      </c>
      <c r="G6" s="559"/>
      <c r="H6" s="559"/>
      <c r="I6" s="560"/>
    </row>
    <row r="7" spans="2:9" ht="30.75" customHeight="1" x14ac:dyDescent="0.15">
      <c r="B7" s="118" t="s">
        <v>226</v>
      </c>
      <c r="C7" s="134" t="s">
        <v>84</v>
      </c>
      <c r="D7" s="581" t="s">
        <v>227</v>
      </c>
      <c r="E7" s="581"/>
      <c r="F7" s="559" t="s">
        <v>228</v>
      </c>
      <c r="G7" s="559"/>
      <c r="H7" s="135" t="s">
        <v>229</v>
      </c>
      <c r="I7" s="136" t="s">
        <v>84</v>
      </c>
    </row>
    <row r="8" spans="2:9" ht="30.75" customHeight="1" x14ac:dyDescent="0.15">
      <c r="B8" s="118" t="s">
        <v>230</v>
      </c>
      <c r="C8" s="559" t="s">
        <v>231</v>
      </c>
      <c r="D8" s="559"/>
      <c r="E8" s="559"/>
      <c r="F8" s="559"/>
      <c r="G8" s="135" t="s">
        <v>232</v>
      </c>
      <c r="H8" s="571">
        <v>7550</v>
      </c>
      <c r="I8" s="572"/>
    </row>
    <row r="9" spans="2:9" ht="30.75" customHeight="1" x14ac:dyDescent="0.15">
      <c r="B9" s="118" t="s">
        <v>68</v>
      </c>
      <c r="C9" s="573" t="s">
        <v>81</v>
      </c>
      <c r="D9" s="573"/>
      <c r="E9" s="573"/>
      <c r="F9" s="573"/>
      <c r="G9" s="135" t="s">
        <v>233</v>
      </c>
      <c r="H9" s="574" t="s">
        <v>368</v>
      </c>
      <c r="I9" s="575"/>
    </row>
    <row r="10" spans="2:9" ht="75.75" customHeight="1" x14ac:dyDescent="0.15">
      <c r="B10" s="118" t="s">
        <v>235</v>
      </c>
      <c r="C10" s="559" t="s">
        <v>369</v>
      </c>
      <c r="D10" s="559"/>
      <c r="E10" s="559"/>
      <c r="F10" s="559"/>
      <c r="G10" s="559"/>
      <c r="H10" s="559"/>
      <c r="I10" s="560"/>
    </row>
    <row r="11" spans="2:9" ht="30.75" customHeight="1" x14ac:dyDescent="0.15">
      <c r="B11" s="118" t="s">
        <v>237</v>
      </c>
      <c r="C11" s="552" t="s">
        <v>349</v>
      </c>
      <c r="D11" s="552"/>
      <c r="E11" s="552"/>
      <c r="F11" s="552"/>
      <c r="G11" s="552"/>
      <c r="H11" s="552"/>
      <c r="I11" s="576"/>
    </row>
    <row r="12" spans="2:9" ht="30.75" customHeight="1" x14ac:dyDescent="0.15">
      <c r="B12" s="118" t="s">
        <v>239</v>
      </c>
      <c r="C12" s="559" t="s">
        <v>370</v>
      </c>
      <c r="D12" s="559"/>
      <c r="E12" s="559"/>
      <c r="F12" s="559"/>
      <c r="G12" s="135" t="s">
        <v>241</v>
      </c>
      <c r="H12" s="564" t="s">
        <v>106</v>
      </c>
      <c r="I12" s="565"/>
    </row>
    <row r="13" spans="2:9" ht="30.75" customHeight="1" x14ac:dyDescent="0.15">
      <c r="B13" s="118" t="s">
        <v>242</v>
      </c>
      <c r="C13" s="577" t="s">
        <v>243</v>
      </c>
      <c r="D13" s="577"/>
      <c r="E13" s="577"/>
      <c r="F13" s="577"/>
      <c r="G13" s="135" t="s">
        <v>244</v>
      </c>
      <c r="H13" s="552" t="s">
        <v>77</v>
      </c>
      <c r="I13" s="576"/>
    </row>
    <row r="14" spans="2:9" ht="30" customHeight="1" x14ac:dyDescent="0.15">
      <c r="B14" s="118" t="s">
        <v>245</v>
      </c>
      <c r="C14" s="661" t="s">
        <v>371</v>
      </c>
      <c r="D14" s="661"/>
      <c r="E14" s="661"/>
      <c r="F14" s="661"/>
      <c r="G14" s="661"/>
      <c r="H14" s="661"/>
      <c r="I14" s="662"/>
    </row>
    <row r="15" spans="2:9" ht="30.75" customHeight="1" x14ac:dyDescent="0.15">
      <c r="B15" s="118" t="s">
        <v>247</v>
      </c>
      <c r="C15" s="550" t="s">
        <v>248</v>
      </c>
      <c r="D15" s="550"/>
      <c r="E15" s="550"/>
      <c r="F15" s="550"/>
      <c r="G15" s="550"/>
      <c r="H15" s="550"/>
      <c r="I15" s="551"/>
    </row>
    <row r="16" spans="2:9" ht="20.25" customHeight="1" x14ac:dyDescent="0.15">
      <c r="B16" s="118" t="s">
        <v>249</v>
      </c>
      <c r="C16" s="559" t="s">
        <v>372</v>
      </c>
      <c r="D16" s="559"/>
      <c r="E16" s="559"/>
      <c r="F16" s="559"/>
      <c r="G16" s="559"/>
      <c r="H16" s="559"/>
      <c r="I16" s="560"/>
    </row>
    <row r="17" spans="2:10" ht="30.75" customHeight="1" x14ac:dyDescent="0.15">
      <c r="B17" s="118" t="s">
        <v>251</v>
      </c>
      <c r="C17" s="552" t="s">
        <v>56</v>
      </c>
      <c r="D17" s="553"/>
      <c r="E17" s="553"/>
      <c r="F17" s="553"/>
      <c r="G17" s="553"/>
      <c r="H17" s="553"/>
      <c r="I17" s="554"/>
    </row>
    <row r="18" spans="2:10" ht="18" customHeight="1" x14ac:dyDescent="0.15">
      <c r="B18" s="555" t="s">
        <v>253</v>
      </c>
      <c r="C18" s="556" t="s">
        <v>254</v>
      </c>
      <c r="D18" s="556"/>
      <c r="E18" s="556"/>
      <c r="F18" s="557" t="s">
        <v>255</v>
      </c>
      <c r="G18" s="557"/>
      <c r="H18" s="557"/>
      <c r="I18" s="558"/>
    </row>
    <row r="19" spans="2:10" ht="39.75" customHeight="1" x14ac:dyDescent="0.15">
      <c r="B19" s="555"/>
      <c r="C19" s="524" t="s">
        <v>373</v>
      </c>
      <c r="D19" s="525"/>
      <c r="E19" s="546"/>
      <c r="F19" s="559" t="str">
        <f>C19</f>
        <v>Actividades que se ejecutaron para la implementación de los procesos transversales</v>
      </c>
      <c r="G19" s="559"/>
      <c r="H19" s="559"/>
      <c r="I19" s="560"/>
    </row>
    <row r="20" spans="2:10" ht="39.75" customHeight="1" x14ac:dyDescent="0.15">
      <c r="B20" s="118" t="s">
        <v>258</v>
      </c>
      <c r="C20" s="524" t="s">
        <v>474</v>
      </c>
      <c r="D20" s="525"/>
      <c r="E20" s="546"/>
      <c r="F20" s="559" t="str">
        <f>C20</f>
        <v>Cantidad de actividades que se ejecutaron para la implementación de los procesos transversales</v>
      </c>
      <c r="G20" s="559"/>
      <c r="H20" s="559"/>
      <c r="I20" s="560"/>
    </row>
    <row r="21" spans="2:10" ht="30" customHeight="1" x14ac:dyDescent="0.15">
      <c r="B21" s="118" t="s">
        <v>259</v>
      </c>
      <c r="C21" s="566"/>
      <c r="D21" s="567"/>
      <c r="E21" s="568"/>
      <c r="F21" s="524"/>
      <c r="G21" s="525"/>
      <c r="H21" s="525"/>
      <c r="I21" s="526"/>
    </row>
    <row r="22" spans="2:10" ht="23.25" customHeight="1" x14ac:dyDescent="0.15">
      <c r="B22" s="118" t="s">
        <v>262</v>
      </c>
      <c r="C22" s="545">
        <v>44562</v>
      </c>
      <c r="D22" s="569"/>
      <c r="E22" s="570"/>
      <c r="F22" s="135" t="s">
        <v>263</v>
      </c>
      <c r="G22" s="227">
        <v>8.7999999999999995E-2</v>
      </c>
      <c r="H22" s="135" t="s">
        <v>264</v>
      </c>
      <c r="I22" s="137">
        <v>8.7999999999999995E-2</v>
      </c>
    </row>
    <row r="23" spans="2:10" ht="27" customHeight="1" x14ac:dyDescent="0.15">
      <c r="B23" s="118" t="s">
        <v>265</v>
      </c>
      <c r="C23" s="545">
        <v>44926</v>
      </c>
      <c r="D23" s="525"/>
      <c r="E23" s="546"/>
      <c r="F23" s="135" t="s">
        <v>266</v>
      </c>
      <c r="G23" s="767">
        <v>0.3</v>
      </c>
      <c r="H23" s="768"/>
      <c r="I23" s="769"/>
    </row>
    <row r="24" spans="2:10" ht="30.75" customHeight="1" x14ac:dyDescent="0.15">
      <c r="B24" s="222" t="s">
        <v>267</v>
      </c>
      <c r="C24" s="521" t="s">
        <v>268</v>
      </c>
      <c r="D24" s="522"/>
      <c r="E24" s="523"/>
      <c r="F24" s="223" t="s">
        <v>269</v>
      </c>
      <c r="G24" s="524" t="s">
        <v>46</v>
      </c>
      <c r="H24" s="525"/>
      <c r="I24" s="526"/>
    </row>
    <row r="25" spans="2:10" ht="22.5" customHeight="1" x14ac:dyDescent="0.15">
      <c r="B25" s="512" t="s">
        <v>270</v>
      </c>
      <c r="C25" s="513"/>
      <c r="D25" s="513"/>
      <c r="E25" s="513"/>
      <c r="F25" s="513"/>
      <c r="G25" s="513"/>
      <c r="H25" s="513"/>
      <c r="I25" s="514"/>
    </row>
    <row r="26" spans="2:10" ht="43.5" customHeight="1" x14ac:dyDescent="0.15">
      <c r="B26" s="100" t="s">
        <v>148</v>
      </c>
      <c r="C26" s="138" t="s">
        <v>271</v>
      </c>
      <c r="D26" s="138" t="s">
        <v>272</v>
      </c>
      <c r="E26" s="139" t="s">
        <v>273</v>
      </c>
      <c r="F26" s="138" t="s">
        <v>274</v>
      </c>
      <c r="G26" s="138" t="s">
        <v>275</v>
      </c>
      <c r="H26" s="139" t="s">
        <v>276</v>
      </c>
      <c r="I26" s="140" t="s">
        <v>277</v>
      </c>
    </row>
    <row r="27" spans="2:10" ht="15.5" customHeight="1" x14ac:dyDescent="0.15">
      <c r="B27" s="100" t="s">
        <v>278</v>
      </c>
      <c r="C27" s="166">
        <f>0.91*$G$23</f>
        <v>0.27300000000000002</v>
      </c>
      <c r="D27" s="166">
        <f>0.732*$G$23</f>
        <v>0.21959999999999999</v>
      </c>
      <c r="E27" s="131">
        <f>D27/C27</f>
        <v>0.80439560439560431</v>
      </c>
      <c r="F27" s="758">
        <f>SUM(C27:C38)/10</f>
        <v>0.29996999999999996</v>
      </c>
      <c r="G27" s="761">
        <f>SUM(D27:D38)/10</f>
        <v>0.29932000000000003</v>
      </c>
      <c r="H27" s="242">
        <f>+(D27*100%)/$G$23</f>
        <v>0.73199999999999998</v>
      </c>
      <c r="I27" s="764">
        <f>G27+I22</f>
        <v>0.38732</v>
      </c>
    </row>
    <row r="28" spans="2:10" ht="15.5" customHeight="1" x14ac:dyDescent="0.15">
      <c r="B28" s="100" t="s">
        <v>158</v>
      </c>
      <c r="C28" s="166">
        <f>0.855*$G$23</f>
        <v>0.25650000000000001</v>
      </c>
      <c r="D28" s="166">
        <f>0.793*$G$23</f>
        <v>0.2379</v>
      </c>
      <c r="E28" s="131">
        <f t="shared" ref="E28:E31" si="0">D28/C28</f>
        <v>0.92748538011695902</v>
      </c>
      <c r="F28" s="759"/>
      <c r="G28" s="762"/>
      <c r="H28" s="242">
        <f>+IF(D28="","",((D28*100%)/$G$23)+H27)</f>
        <v>1.5249999999999999</v>
      </c>
      <c r="I28" s="765"/>
    </row>
    <row r="29" spans="2:10" ht="15.5" customHeight="1" x14ac:dyDescent="0.15">
      <c r="B29" s="100" t="s">
        <v>159</v>
      </c>
      <c r="C29" s="166">
        <f>0.848*$G$23</f>
        <v>0.25439999999999996</v>
      </c>
      <c r="D29" s="166">
        <f>0.841*$G$23</f>
        <v>0.25229999999999997</v>
      </c>
      <c r="E29" s="131">
        <f t="shared" si="0"/>
        <v>0.991745283018868</v>
      </c>
      <c r="F29" s="759"/>
      <c r="G29" s="762"/>
      <c r="H29" s="242">
        <f t="shared" ref="H29:H38" si="1">+IF(D29="","",((D29*100%)/$G$23)+H28)</f>
        <v>2.3659999999999997</v>
      </c>
      <c r="I29" s="765"/>
    </row>
    <row r="30" spans="2:10" ht="15.5" customHeight="1" x14ac:dyDescent="0.15">
      <c r="B30" s="100" t="s">
        <v>160</v>
      </c>
      <c r="C30" s="166">
        <f>0.77*$G$23</f>
        <v>0.23099999999999998</v>
      </c>
      <c r="D30" s="166">
        <f>0.712*$G$23</f>
        <v>0.21359999999999998</v>
      </c>
      <c r="E30" s="131">
        <f t="shared" si="0"/>
        <v>0.92467532467532465</v>
      </c>
      <c r="F30" s="759"/>
      <c r="G30" s="762"/>
      <c r="H30" s="242">
        <f t="shared" si="1"/>
        <v>3.0779999999999994</v>
      </c>
      <c r="I30" s="765"/>
    </row>
    <row r="31" spans="2:10" ht="15.5" customHeight="1" x14ac:dyDescent="0.15">
      <c r="B31" s="100" t="s">
        <v>161</v>
      </c>
      <c r="C31" s="166">
        <f>0.768*$G$23</f>
        <v>0.23039999999999999</v>
      </c>
      <c r="D31" s="166">
        <f>0.631*$G$23</f>
        <v>0.1893</v>
      </c>
      <c r="E31" s="131">
        <f t="shared" si="0"/>
        <v>0.82161458333333337</v>
      </c>
      <c r="F31" s="759"/>
      <c r="G31" s="762"/>
      <c r="H31" s="242">
        <f t="shared" si="1"/>
        <v>3.7089999999999996</v>
      </c>
      <c r="I31" s="765"/>
      <c r="J31" s="287"/>
    </row>
    <row r="32" spans="2:10" ht="15.5" customHeight="1" x14ac:dyDescent="0.15">
      <c r="B32" s="100" t="s">
        <v>162</v>
      </c>
      <c r="C32" s="166">
        <f>0.948*$G$23</f>
        <v>0.28439999999999999</v>
      </c>
      <c r="D32" s="166">
        <f>9.75%/G23</f>
        <v>0.32500000000000001</v>
      </c>
      <c r="E32" s="131">
        <f>D32/C32</f>
        <v>1.1427566807313643</v>
      </c>
      <c r="F32" s="759"/>
      <c r="G32" s="762"/>
      <c r="H32" s="242">
        <f t="shared" si="1"/>
        <v>4.7923333333333336</v>
      </c>
      <c r="I32" s="765"/>
    </row>
    <row r="33" spans="2:11" ht="19.5" customHeight="1" x14ac:dyDescent="0.15">
      <c r="B33" s="100" t="s">
        <v>163</v>
      </c>
      <c r="C33" s="166">
        <f>0.77*$G$23</f>
        <v>0.23099999999999998</v>
      </c>
      <c r="D33" s="166">
        <f>0.77*$G$23</f>
        <v>0.23099999999999998</v>
      </c>
      <c r="E33" s="131">
        <f t="shared" ref="E33:E38" si="2">D33/C33</f>
        <v>1</v>
      </c>
      <c r="F33" s="759"/>
      <c r="G33" s="762"/>
      <c r="H33" s="242">
        <f t="shared" si="1"/>
        <v>5.5623333333333331</v>
      </c>
      <c r="I33" s="765"/>
      <c r="J33" s="287"/>
    </row>
    <row r="34" spans="2:11" ht="19.5" customHeight="1" x14ac:dyDescent="0.15">
      <c r="B34" s="100" t="s">
        <v>164</v>
      </c>
      <c r="C34" s="166">
        <f>0.768*$G$23</f>
        <v>0.23039999999999999</v>
      </c>
      <c r="D34" s="166">
        <f>0.792*$G$23</f>
        <v>0.23760000000000001</v>
      </c>
      <c r="E34" s="131">
        <f t="shared" si="2"/>
        <v>1.03125</v>
      </c>
      <c r="F34" s="759"/>
      <c r="G34" s="762"/>
      <c r="H34" s="242">
        <f t="shared" si="1"/>
        <v>6.3543333333333329</v>
      </c>
      <c r="I34" s="765"/>
      <c r="J34" s="287"/>
    </row>
    <row r="35" spans="2:11" ht="19.5" customHeight="1" x14ac:dyDescent="0.15">
      <c r="B35" s="100" t="s">
        <v>165</v>
      </c>
      <c r="C35" s="166">
        <f>0.823*$G$23</f>
        <v>0.24689999999999998</v>
      </c>
      <c r="D35" s="166">
        <f>0.804*$G$23</f>
        <v>0.2412</v>
      </c>
      <c r="E35" s="131">
        <f t="shared" si="2"/>
        <v>0.97691373025516415</v>
      </c>
      <c r="F35" s="759"/>
      <c r="G35" s="762"/>
      <c r="H35" s="242">
        <f t="shared" si="1"/>
        <v>7.1583333333333332</v>
      </c>
      <c r="I35" s="765"/>
      <c r="J35" s="287"/>
    </row>
    <row r="36" spans="2:11" ht="19.5" customHeight="1" x14ac:dyDescent="0.15">
      <c r="B36" s="100" t="s">
        <v>166</v>
      </c>
      <c r="C36" s="166">
        <f>0.77*$G$23</f>
        <v>0.23099999999999998</v>
      </c>
      <c r="D36" s="166">
        <f>0.933*$G$23</f>
        <v>0.27989999999999998</v>
      </c>
      <c r="E36" s="131">
        <f t="shared" si="2"/>
        <v>1.2116883116883117</v>
      </c>
      <c r="F36" s="759"/>
      <c r="G36" s="762"/>
      <c r="H36" s="242">
        <f t="shared" si="1"/>
        <v>8.091333333333333</v>
      </c>
      <c r="I36" s="765"/>
    </row>
    <row r="37" spans="2:11" ht="19.5" customHeight="1" x14ac:dyDescent="0.15">
      <c r="B37" s="100" t="s">
        <v>167</v>
      </c>
      <c r="C37" s="166">
        <f>0.912*$G$23</f>
        <v>0.27360000000000001</v>
      </c>
      <c r="D37" s="166">
        <f>0.981*$G$23</f>
        <v>0.29430000000000001</v>
      </c>
      <c r="E37" s="131">
        <f t="shared" si="2"/>
        <v>1.075657894736842</v>
      </c>
      <c r="F37" s="759"/>
      <c r="G37" s="762"/>
      <c r="H37" s="242">
        <f t="shared" si="1"/>
        <v>9.0723333333333329</v>
      </c>
      <c r="I37" s="765"/>
      <c r="J37" s="287"/>
    </row>
    <row r="38" spans="2:11" ht="19.5" customHeight="1" x14ac:dyDescent="0.15">
      <c r="B38" s="100" t="s">
        <v>168</v>
      </c>
      <c r="C38" s="166">
        <f>0.857*$G$23</f>
        <v>0.2571</v>
      </c>
      <c r="D38" s="166">
        <f>0.905*$G$23</f>
        <v>0.27150000000000002</v>
      </c>
      <c r="E38" s="131">
        <f t="shared" si="2"/>
        <v>1.0560093348891484</v>
      </c>
      <c r="F38" s="760"/>
      <c r="G38" s="763"/>
      <c r="H38" s="242">
        <f t="shared" si="1"/>
        <v>9.9773333333333323</v>
      </c>
      <c r="I38" s="766"/>
      <c r="K38" s="287"/>
    </row>
    <row r="39" spans="2:11" ht="267.5" customHeight="1" x14ac:dyDescent="0.15">
      <c r="B39" s="119" t="s">
        <v>279</v>
      </c>
      <c r="C39" s="756" t="s">
        <v>374</v>
      </c>
      <c r="D39" s="756"/>
      <c r="E39" s="756"/>
      <c r="F39" s="756"/>
      <c r="G39" s="756"/>
      <c r="H39" s="756"/>
      <c r="I39" s="757"/>
    </row>
    <row r="40" spans="2:11" ht="57" customHeight="1" x14ac:dyDescent="0.15">
      <c r="B40" s="530"/>
      <c r="C40" s="531"/>
      <c r="D40" s="531"/>
      <c r="E40" s="531"/>
      <c r="F40" s="531"/>
      <c r="G40" s="531"/>
      <c r="H40" s="531"/>
      <c r="I40" s="532"/>
    </row>
    <row r="41" spans="2:11" ht="57" customHeight="1" x14ac:dyDescent="0.15">
      <c r="B41" s="533"/>
      <c r="C41" s="534"/>
      <c r="D41" s="534"/>
      <c r="E41" s="534"/>
      <c r="F41" s="534"/>
      <c r="G41" s="534"/>
      <c r="H41" s="534"/>
      <c r="I41" s="535"/>
    </row>
    <row r="42" spans="2:11" ht="57" customHeight="1" x14ac:dyDescent="0.15">
      <c r="B42" s="533"/>
      <c r="C42" s="534"/>
      <c r="D42" s="534"/>
      <c r="E42" s="534"/>
      <c r="F42" s="534"/>
      <c r="G42" s="534"/>
      <c r="H42" s="534"/>
      <c r="I42" s="535"/>
    </row>
    <row r="43" spans="2:11" ht="57" customHeight="1" x14ac:dyDescent="0.15">
      <c r="B43" s="533"/>
      <c r="C43" s="534"/>
      <c r="D43" s="534"/>
      <c r="E43" s="534"/>
      <c r="F43" s="534"/>
      <c r="G43" s="534"/>
      <c r="H43" s="534"/>
      <c r="I43" s="535"/>
    </row>
    <row r="44" spans="2:11" ht="57" customHeight="1" x14ac:dyDescent="0.15">
      <c r="B44" s="536"/>
      <c r="C44" s="537"/>
      <c r="D44" s="537"/>
      <c r="E44" s="537"/>
      <c r="F44" s="537"/>
      <c r="G44" s="537"/>
      <c r="H44" s="537"/>
      <c r="I44" s="538"/>
    </row>
    <row r="45" spans="2:11" ht="23.25" customHeight="1" x14ac:dyDescent="0.15">
      <c r="B45" s="670" t="s">
        <v>280</v>
      </c>
      <c r="C45" s="800"/>
      <c r="D45" s="801"/>
      <c r="E45" s="801"/>
      <c r="F45" s="801"/>
      <c r="G45" s="801"/>
      <c r="H45" s="154" t="s">
        <v>148</v>
      </c>
      <c r="I45" s="155" t="s">
        <v>307</v>
      </c>
    </row>
    <row r="46" spans="2:11" ht="69.5" customHeight="1" x14ac:dyDescent="0.15">
      <c r="B46" s="671"/>
      <c r="C46" s="805" t="s">
        <v>466</v>
      </c>
      <c r="D46" s="806"/>
      <c r="E46" s="806"/>
      <c r="F46" s="806"/>
      <c r="G46" s="133" t="s">
        <v>375</v>
      </c>
      <c r="H46" s="157">
        <v>995</v>
      </c>
      <c r="I46" s="157">
        <v>14367</v>
      </c>
    </row>
    <row r="47" spans="2:11" ht="69.5" customHeight="1" x14ac:dyDescent="0.15">
      <c r="B47" s="671"/>
      <c r="C47" s="807"/>
      <c r="D47" s="808"/>
      <c r="E47" s="808"/>
      <c r="F47" s="808"/>
      <c r="G47" s="133" t="s">
        <v>376</v>
      </c>
      <c r="H47" s="157">
        <v>44</v>
      </c>
      <c r="I47" s="157">
        <v>834</v>
      </c>
    </row>
    <row r="48" spans="2:11" ht="69.5" customHeight="1" x14ac:dyDescent="0.15">
      <c r="B48" s="671"/>
      <c r="C48" s="807"/>
      <c r="D48" s="808"/>
      <c r="E48" s="808"/>
      <c r="F48" s="808"/>
      <c r="G48" s="133" t="s">
        <v>377</v>
      </c>
      <c r="H48" s="156">
        <v>2395</v>
      </c>
      <c r="I48" s="156">
        <v>35128</v>
      </c>
    </row>
    <row r="49" spans="2:15" ht="54.5" customHeight="1" x14ac:dyDescent="0.15">
      <c r="B49" s="671"/>
      <c r="C49" s="782" t="s">
        <v>441</v>
      </c>
      <c r="D49" s="783"/>
      <c r="E49" s="783"/>
      <c r="F49" s="784"/>
      <c r="G49" s="133" t="s">
        <v>378</v>
      </c>
      <c r="H49" s="286">
        <v>2</v>
      </c>
      <c r="I49" s="286">
        <v>63</v>
      </c>
    </row>
    <row r="50" spans="2:15" ht="54.5" customHeight="1" x14ac:dyDescent="0.15">
      <c r="B50" s="671"/>
      <c r="C50" s="785"/>
      <c r="D50" s="786"/>
      <c r="E50" s="786"/>
      <c r="F50" s="787"/>
      <c r="G50" s="133" t="s">
        <v>379</v>
      </c>
      <c r="H50" s="286">
        <v>5</v>
      </c>
      <c r="I50" s="286">
        <v>48</v>
      </c>
    </row>
    <row r="51" spans="2:15" ht="54.5" customHeight="1" x14ac:dyDescent="0.15">
      <c r="B51" s="671"/>
      <c r="C51" s="785"/>
      <c r="D51" s="786"/>
      <c r="E51" s="786"/>
      <c r="F51" s="787"/>
      <c r="G51" s="133" t="s">
        <v>380</v>
      </c>
      <c r="H51" s="286">
        <v>9</v>
      </c>
      <c r="I51" s="286">
        <v>76</v>
      </c>
    </row>
    <row r="52" spans="2:15" ht="54.5" customHeight="1" x14ac:dyDescent="0.15">
      <c r="B52" s="671"/>
      <c r="C52" s="788"/>
      <c r="D52" s="789"/>
      <c r="E52" s="789"/>
      <c r="F52" s="790"/>
      <c r="G52" s="133" t="s">
        <v>381</v>
      </c>
      <c r="H52" s="286">
        <v>0</v>
      </c>
      <c r="I52" s="286">
        <v>18</v>
      </c>
    </row>
    <row r="53" spans="2:15" ht="73.25" customHeight="1" x14ac:dyDescent="0.15">
      <c r="B53" s="671"/>
      <c r="C53" s="782" t="s">
        <v>467</v>
      </c>
      <c r="D53" s="783"/>
      <c r="E53" s="783"/>
      <c r="F53" s="784"/>
      <c r="G53" s="133" t="s">
        <v>382</v>
      </c>
      <c r="H53" s="286" t="s">
        <v>430</v>
      </c>
      <c r="I53" s="286" t="s">
        <v>431</v>
      </c>
    </row>
    <row r="54" spans="2:15" ht="36" customHeight="1" x14ac:dyDescent="0.15">
      <c r="B54" s="671"/>
      <c r="C54" s="785"/>
      <c r="D54" s="786"/>
      <c r="E54" s="786"/>
      <c r="F54" s="787"/>
      <c r="G54" s="133" t="s">
        <v>468</v>
      </c>
      <c r="H54" s="286">
        <v>210</v>
      </c>
      <c r="I54" s="286">
        <v>1651</v>
      </c>
    </row>
    <row r="55" spans="2:15" ht="36" customHeight="1" x14ac:dyDescent="0.15">
      <c r="B55" s="671"/>
      <c r="C55" s="785"/>
      <c r="D55" s="786"/>
      <c r="E55" s="786"/>
      <c r="F55" s="787"/>
      <c r="G55" s="133" t="s">
        <v>383</v>
      </c>
      <c r="H55" s="286">
        <v>6</v>
      </c>
      <c r="I55" s="286">
        <v>75</v>
      </c>
    </row>
    <row r="56" spans="2:15" ht="36" customHeight="1" x14ac:dyDescent="0.15">
      <c r="B56" s="671"/>
      <c r="C56" s="788"/>
      <c r="D56" s="789"/>
      <c r="E56" s="789"/>
      <c r="F56" s="790"/>
      <c r="G56" s="133" t="s">
        <v>384</v>
      </c>
      <c r="H56" s="286">
        <v>5</v>
      </c>
      <c r="I56" s="286">
        <v>90</v>
      </c>
    </row>
    <row r="57" spans="2:15" ht="68.5" customHeight="1" x14ac:dyDescent="0.15">
      <c r="B57" s="671"/>
      <c r="C57" s="791" t="s">
        <v>469</v>
      </c>
      <c r="D57" s="792"/>
      <c r="E57" s="792"/>
      <c r="F57" s="793"/>
      <c r="G57" s="133" t="s">
        <v>385</v>
      </c>
      <c r="H57" s="286">
        <v>3</v>
      </c>
      <c r="I57" s="286">
        <v>37</v>
      </c>
    </row>
    <row r="58" spans="2:15" ht="68.5" customHeight="1" x14ac:dyDescent="0.15">
      <c r="B58" s="671"/>
      <c r="C58" s="797"/>
      <c r="D58" s="798"/>
      <c r="E58" s="798"/>
      <c r="F58" s="799"/>
      <c r="G58" s="133" t="s">
        <v>470</v>
      </c>
      <c r="H58" s="286">
        <v>5</v>
      </c>
      <c r="I58" s="286">
        <v>27</v>
      </c>
    </row>
    <row r="59" spans="2:15" ht="33.5" customHeight="1" x14ac:dyDescent="0.15">
      <c r="B59" s="671"/>
      <c r="C59" s="809" t="s">
        <v>429</v>
      </c>
      <c r="D59" s="809"/>
      <c r="E59" s="809"/>
      <c r="F59" s="810"/>
      <c r="G59" s="133" t="s">
        <v>386</v>
      </c>
      <c r="H59" s="286" t="s">
        <v>443</v>
      </c>
      <c r="I59" s="286" t="s">
        <v>444</v>
      </c>
    </row>
    <row r="60" spans="2:15" s="104" customFormat="1" ht="33.5" customHeight="1" x14ac:dyDescent="0.2">
      <c r="B60" s="671"/>
      <c r="C60" s="811"/>
      <c r="D60" s="811"/>
      <c r="E60" s="811"/>
      <c r="F60" s="812"/>
      <c r="G60" s="133" t="s">
        <v>387</v>
      </c>
      <c r="H60" s="286">
        <v>0</v>
      </c>
      <c r="I60" s="293">
        <v>43</v>
      </c>
      <c r="J60" s="158"/>
      <c r="K60" s="158"/>
      <c r="L60" s="158"/>
      <c r="M60" s="158"/>
      <c r="N60" s="158"/>
      <c r="O60" s="158"/>
    </row>
    <row r="61" spans="2:15" ht="33.5" customHeight="1" x14ac:dyDescent="0.15">
      <c r="B61" s="671"/>
      <c r="C61" s="811"/>
      <c r="D61" s="811"/>
      <c r="E61" s="811"/>
      <c r="F61" s="812"/>
      <c r="G61" s="133" t="s">
        <v>388</v>
      </c>
      <c r="H61" s="286">
        <v>829</v>
      </c>
      <c r="I61" s="293"/>
    </row>
    <row r="62" spans="2:15" ht="49.5" customHeight="1" x14ac:dyDescent="0.15">
      <c r="B62" s="671"/>
      <c r="C62" s="813"/>
      <c r="D62" s="813"/>
      <c r="E62" s="813"/>
      <c r="F62" s="814"/>
      <c r="G62" s="133" t="s">
        <v>389</v>
      </c>
      <c r="H62" s="286">
        <v>880</v>
      </c>
      <c r="I62" s="286">
        <v>8189</v>
      </c>
    </row>
    <row r="63" spans="2:15" ht="76.75" customHeight="1" x14ac:dyDescent="0.15">
      <c r="B63" s="671"/>
      <c r="C63" s="791" t="s">
        <v>442</v>
      </c>
      <c r="D63" s="792"/>
      <c r="E63" s="792"/>
      <c r="F63" s="793"/>
      <c r="G63" s="133" t="s">
        <v>390</v>
      </c>
      <c r="H63" s="290">
        <v>5</v>
      </c>
      <c r="I63" s="291">
        <v>58</v>
      </c>
    </row>
    <row r="64" spans="2:15" ht="76.75" customHeight="1" x14ac:dyDescent="0.15">
      <c r="B64" s="671"/>
      <c r="C64" s="794"/>
      <c r="D64" s="795"/>
      <c r="E64" s="795"/>
      <c r="F64" s="796"/>
      <c r="G64" s="133" t="s">
        <v>391</v>
      </c>
      <c r="H64" s="290">
        <v>8</v>
      </c>
      <c r="I64" s="291">
        <f>155+H64</f>
        <v>163</v>
      </c>
    </row>
    <row r="65" spans="2:9" ht="76.75" customHeight="1" x14ac:dyDescent="0.15">
      <c r="B65" s="672"/>
      <c r="C65" s="797"/>
      <c r="D65" s="798"/>
      <c r="E65" s="798"/>
      <c r="F65" s="799"/>
      <c r="G65" s="133" t="s">
        <v>471</v>
      </c>
      <c r="H65" s="290">
        <v>9</v>
      </c>
      <c r="I65" s="292">
        <v>10111</v>
      </c>
    </row>
    <row r="66" spans="2:9" ht="60.75" customHeight="1" x14ac:dyDescent="0.15">
      <c r="B66" s="171" t="s">
        <v>281</v>
      </c>
      <c r="C66" s="802" t="s">
        <v>46</v>
      </c>
      <c r="D66" s="803"/>
      <c r="E66" s="803"/>
      <c r="F66" s="803"/>
      <c r="G66" s="803"/>
      <c r="H66" s="803"/>
      <c r="I66" s="804"/>
    </row>
    <row r="67" spans="2:9" ht="79.5" customHeight="1" x14ac:dyDescent="0.15">
      <c r="B67" s="120" t="s">
        <v>282</v>
      </c>
      <c r="C67" s="802" t="s">
        <v>472</v>
      </c>
      <c r="D67" s="803"/>
      <c r="E67" s="803"/>
      <c r="F67" s="803"/>
      <c r="G67" s="803"/>
      <c r="H67" s="803"/>
      <c r="I67" s="804"/>
    </row>
    <row r="68" spans="2:9" ht="22.5" customHeight="1" x14ac:dyDescent="0.15">
      <c r="B68" s="512" t="s">
        <v>283</v>
      </c>
      <c r="C68" s="513"/>
      <c r="D68" s="513"/>
      <c r="E68" s="513"/>
      <c r="F68" s="513"/>
      <c r="G68" s="513"/>
      <c r="H68" s="513"/>
      <c r="I68" s="514"/>
    </row>
    <row r="69" spans="2:9" ht="22.5" customHeight="1" x14ac:dyDescent="0.15">
      <c r="B69" s="508" t="s">
        <v>284</v>
      </c>
      <c r="C69" s="141" t="s">
        <v>285</v>
      </c>
      <c r="D69" s="510" t="s">
        <v>286</v>
      </c>
      <c r="E69" s="510"/>
      <c r="F69" s="510"/>
      <c r="G69" s="510" t="s">
        <v>287</v>
      </c>
      <c r="H69" s="510"/>
      <c r="I69" s="511"/>
    </row>
    <row r="70" spans="2:9" ht="30.75" customHeight="1" x14ac:dyDescent="0.15">
      <c r="B70" s="509"/>
      <c r="C70" s="142"/>
      <c r="D70" s="591"/>
      <c r="E70" s="591"/>
      <c r="F70" s="591"/>
      <c r="G70" s="591"/>
      <c r="H70" s="591"/>
      <c r="I70" s="592"/>
    </row>
    <row r="71" spans="2:9" ht="32.25" customHeight="1" x14ac:dyDescent="0.15">
      <c r="B71" s="121" t="s">
        <v>288</v>
      </c>
      <c r="C71" s="780" t="s">
        <v>473</v>
      </c>
      <c r="D71" s="780"/>
      <c r="E71" s="780"/>
      <c r="F71" s="780"/>
      <c r="G71" s="780"/>
      <c r="H71" s="780"/>
      <c r="I71" s="781"/>
    </row>
    <row r="72" spans="2:9" ht="28.5" customHeight="1" x14ac:dyDescent="0.15">
      <c r="B72" s="122" t="s">
        <v>290</v>
      </c>
      <c r="C72" s="780" t="s">
        <v>473</v>
      </c>
      <c r="D72" s="780"/>
      <c r="E72" s="780"/>
      <c r="F72" s="780"/>
      <c r="G72" s="780"/>
      <c r="H72" s="780"/>
      <c r="I72" s="781"/>
    </row>
    <row r="73" spans="2:9" ht="30" customHeight="1" x14ac:dyDescent="0.15">
      <c r="B73" s="120" t="s">
        <v>291</v>
      </c>
      <c r="C73" s="591" t="s">
        <v>292</v>
      </c>
      <c r="D73" s="591"/>
      <c r="E73" s="591"/>
      <c r="F73" s="591"/>
      <c r="G73" s="591"/>
      <c r="H73" s="591"/>
      <c r="I73" s="592"/>
    </row>
    <row r="74" spans="2:9" ht="31.5" customHeight="1" thickBot="1" x14ac:dyDescent="0.2">
      <c r="B74" s="116" t="s">
        <v>293</v>
      </c>
      <c r="C74" s="777" t="s">
        <v>294</v>
      </c>
      <c r="D74" s="778"/>
      <c r="E74" s="778"/>
      <c r="F74" s="778"/>
      <c r="G74" s="778"/>
      <c r="H74" s="778"/>
      <c r="I74" s="779"/>
    </row>
    <row r="75" spans="2:9" ht="13.25" customHeight="1" x14ac:dyDescent="0.15">
      <c r="B75" s="109"/>
      <c r="C75" s="110"/>
      <c r="D75" s="110"/>
      <c r="E75" s="111"/>
      <c r="F75" s="111"/>
      <c r="G75" s="117"/>
      <c r="H75" s="113"/>
      <c r="I75" s="110"/>
    </row>
    <row r="76" spans="2:9" ht="13.25" customHeight="1" x14ac:dyDescent="0.15">
      <c r="B76" s="774"/>
      <c r="C76" s="774"/>
      <c r="D76" s="774"/>
      <c r="E76" s="774"/>
      <c r="F76" s="774"/>
      <c r="G76" s="774"/>
      <c r="H76" s="774"/>
      <c r="I76" s="774"/>
    </row>
    <row r="77" spans="2:9" ht="13.25" customHeight="1" x14ac:dyDescent="0.15">
      <c r="B77" s="774"/>
      <c r="C77" s="774"/>
      <c r="D77" s="774"/>
      <c r="E77" s="774"/>
      <c r="F77" s="774"/>
      <c r="G77" s="774"/>
      <c r="H77" s="774"/>
      <c r="I77" s="774"/>
    </row>
    <row r="78" spans="2:9" ht="13.25" customHeight="1" x14ac:dyDescent="0.15">
      <c r="B78" s="774"/>
      <c r="C78" s="774"/>
      <c r="D78" s="774"/>
      <c r="E78" s="774"/>
      <c r="F78" s="774"/>
      <c r="G78" s="774"/>
      <c r="H78" s="774"/>
      <c r="I78" s="774"/>
    </row>
    <row r="79" spans="2:9" ht="13.25" customHeight="1" x14ac:dyDescent="0.15">
      <c r="B79" s="109"/>
      <c r="C79" s="110"/>
      <c r="D79" s="110"/>
      <c r="E79" s="111"/>
      <c r="F79" s="111"/>
      <c r="G79" s="117"/>
      <c r="H79" s="113"/>
      <c r="I79" s="110"/>
    </row>
    <row r="80" spans="2:9"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775"/>
      <c r="G109" s="776"/>
      <c r="H109" s="776"/>
      <c r="I109" s="776"/>
    </row>
    <row r="110" spans="6:9" ht="12.75" customHeight="1" x14ac:dyDescent="0.15">
      <c r="F110" s="770"/>
      <c r="G110" s="771"/>
      <c r="H110" s="771"/>
      <c r="I110" s="771"/>
    </row>
    <row r="111" spans="6:9" ht="12.75" customHeight="1" x14ac:dyDescent="0.15">
      <c r="F111" s="770"/>
      <c r="G111" s="771"/>
      <c r="H111" s="771"/>
      <c r="I111" s="771"/>
    </row>
    <row r="112" spans="6:9" ht="12.75" customHeight="1" x14ac:dyDescent="0.15">
      <c r="F112" s="770"/>
      <c r="G112" s="771"/>
      <c r="H112" s="771"/>
      <c r="I112" s="771"/>
    </row>
    <row r="113" spans="6:9" ht="12.75" customHeight="1" x14ac:dyDescent="0.15">
      <c r="F113" s="772"/>
      <c r="G113" s="773"/>
      <c r="H113" s="773"/>
      <c r="I113" s="773"/>
    </row>
  </sheetData>
  <sheetProtection algorithmName="SHA-512" hashValue="20V/Ij+eyOeyifeH/Gu4UmvNFgCDM3eD45MBoEE7lHhnFplzu0iOYkPQEHzvnTOYmr1/wCBHCJ71vk6ShOeRGQ==" saltValue="gLJPmnCvoKygq41etyczIw==" spinCount="100000" sheet="1" objects="1" scenarios="1"/>
  <mergeCells count="72">
    <mergeCell ref="C53:F56"/>
    <mergeCell ref="C63:F65"/>
    <mergeCell ref="C45:G45"/>
    <mergeCell ref="B68:I68"/>
    <mergeCell ref="C73:I73"/>
    <mergeCell ref="C67:I67"/>
    <mergeCell ref="C66:I66"/>
    <mergeCell ref="B45:B65"/>
    <mergeCell ref="C46:F48"/>
    <mergeCell ref="C49:F52"/>
    <mergeCell ref="C57:F58"/>
    <mergeCell ref="C59:F62"/>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24:E24"/>
    <mergeCell ref="G24:I24"/>
    <mergeCell ref="B25:I25"/>
    <mergeCell ref="F27:F38"/>
    <mergeCell ref="G27:G38"/>
    <mergeCell ref="I27:I38"/>
  </mergeCells>
  <dataValidations disablePrompts="1" count="2">
    <dataValidation type="list" allowBlank="1" showInputMessage="1" showErrorMessage="1" sqref="H12:I12" xr:uid="{8D193C82-F006-4CC4-8B72-BCC1C0CE602D}">
      <formula1>#REF!</formula1>
    </dataValidation>
    <dataValidation type="list" allowBlank="1" showInputMessage="1" showErrorMessage="1" sqref="C24:E24 C7 I7 H13:I13 C9:F9" xr:uid="{26A62406-2974-4E6B-B155-AFC13B024F6A}">
      <formula1>#REF!</formula1>
    </dataValidation>
  </dataValidations>
  <pageMargins left="0.7" right="0.7" top="0.75" bottom="0.75" header="0.3" footer="0.3"/>
  <pageSetup scale="24" orientation="portrait" r:id="rId1"/>
  <rowBreaks count="1" manualBreakCount="1">
    <brk id="65" max="8" man="1"/>
  </rowBreaks>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3.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2023-02-01T23:01:35Z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