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911"/>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Users/deisipascagaza/Library/CloudStorage/OneDrive-INSTITUTODEPROTECCIONANIMAL899999061052/TRABAJO EN CASA/IDPYBA 2022/PLAN DE ACCION 2022/PROYECTO 7550/Agosto/"/>
    </mc:Choice>
  </mc:AlternateContent>
  <xr:revisionPtr revIDLastSave="0" documentId="13_ncr:1_{570561FE-09B6-C94B-A954-1146D7023A01}" xr6:coauthVersionLast="47" xr6:coauthVersionMax="47" xr10:uidLastSave="{00000000-0000-0000-0000-000000000000}"/>
  <bookViews>
    <workbookView xWindow="0" yWindow="500" windowWidth="23260" windowHeight="15680" tabRatio="743" activeTab="6"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2'!$A$1:$I$61</definedName>
    <definedName name="_xlnm.Print_Area" localSheetId="5">'META 3'!$A$1:$I$54</definedName>
    <definedName name="_xlnm.Print_Area" localSheetId="6">'META 4'!$A$1:$I$56</definedName>
    <definedName name="_xlnm.Print_Area" localSheetId="7">'META 5'!$A$1:$I$66</definedName>
    <definedName name="_xlnm.Print_Area" localSheetId="8">'META 6'!$A$1:$I$74</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8"/>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4" i="87" l="1"/>
  <c r="D34" i="92"/>
  <c r="D34" i="90" l="1"/>
  <c r="D34" i="95"/>
  <c r="I54" i="91" l="1"/>
  <c r="I48" i="91" l="1"/>
  <c r="I47" i="91"/>
  <c r="I46" i="91"/>
  <c r="I49" i="92" l="1"/>
  <c r="I48" i="92"/>
  <c r="I47" i="92"/>
  <c r="D34" i="93" l="1"/>
  <c r="D33" i="91" l="1"/>
  <c r="E38" i="92" l="1"/>
  <c r="E37" i="92"/>
  <c r="E36" i="92"/>
  <c r="E35" i="92"/>
  <c r="E34" i="92"/>
  <c r="E33" i="92"/>
  <c r="E32" i="92"/>
  <c r="E31" i="92"/>
  <c r="E30" i="92"/>
  <c r="E29" i="92"/>
  <c r="E28" i="92"/>
  <c r="E27" i="92"/>
  <c r="D33" i="92"/>
  <c r="D32" i="92"/>
  <c r="D33" i="87"/>
  <c r="D33" i="90" l="1"/>
  <c r="D32" i="90"/>
  <c r="E38" i="93" l="1"/>
  <c r="C38" i="93"/>
  <c r="C37" i="93"/>
  <c r="E37" i="93" s="1"/>
  <c r="C36" i="93"/>
  <c r="E36" i="93" s="1"/>
  <c r="C35" i="93"/>
  <c r="E35" i="93" s="1"/>
  <c r="E34" i="93"/>
  <c r="C34" i="93"/>
  <c r="C33" i="93"/>
  <c r="E33" i="93" s="1"/>
  <c r="E32" i="93"/>
  <c r="C32" i="93"/>
  <c r="D31" i="93"/>
  <c r="E31" i="93" s="1"/>
  <c r="C31" i="93"/>
  <c r="C30" i="93"/>
  <c r="E30" i="93" s="1"/>
  <c r="D29" i="93"/>
  <c r="E29" i="93" s="1"/>
  <c r="C29" i="93"/>
  <c r="D28" i="93"/>
  <c r="E28" i="93" s="1"/>
  <c r="C28" i="93"/>
  <c r="D27" i="93"/>
  <c r="E27" i="93" s="1"/>
  <c r="C27" i="93"/>
  <c r="D32" i="87" l="1"/>
  <c r="D31" i="90"/>
  <c r="D31" i="91"/>
  <c r="D31" i="92"/>
  <c r="D31" i="80"/>
  <c r="D31" i="87" l="1"/>
  <c r="C34" i="92"/>
  <c r="C35" i="92"/>
  <c r="C36" i="92"/>
  <c r="C37" i="92"/>
  <c r="C38" i="92"/>
  <c r="C33" i="92"/>
  <c r="C32" i="92"/>
  <c r="C31" i="92"/>
  <c r="D30" i="92"/>
  <c r="C30" i="92"/>
  <c r="D29" i="92"/>
  <c r="C29" i="92"/>
  <c r="C27" i="92"/>
  <c r="D28" i="92"/>
  <c r="C28" i="92"/>
  <c r="D27" i="92"/>
  <c r="C38" i="91"/>
  <c r="C37" i="91"/>
  <c r="C36" i="91"/>
  <c r="C35" i="91"/>
  <c r="C34" i="91"/>
  <c r="D34" i="91" s="1"/>
  <c r="C33" i="91"/>
  <c r="C32" i="91"/>
  <c r="D32" i="91" s="1"/>
  <c r="C31" i="91"/>
  <c r="D30" i="91"/>
  <c r="C30" i="91"/>
  <c r="D29" i="91"/>
  <c r="C29" i="91"/>
  <c r="D28" i="91"/>
  <c r="C28" i="91"/>
  <c r="D27" i="91"/>
  <c r="C38" i="90"/>
  <c r="C37" i="90"/>
  <c r="C36" i="90"/>
  <c r="C35" i="90"/>
  <c r="C34" i="90"/>
  <c r="C33" i="90"/>
  <c r="C32" i="90"/>
  <c r="C31" i="90"/>
  <c r="D30" i="90"/>
  <c r="C30" i="90"/>
  <c r="D29" i="90"/>
  <c r="C29" i="90"/>
  <c r="D28" i="90"/>
  <c r="C28" i="90"/>
  <c r="D27" i="90"/>
  <c r="C27" i="90"/>
  <c r="C38" i="95"/>
  <c r="C37" i="95"/>
  <c r="C36" i="95"/>
  <c r="C35" i="95"/>
  <c r="C34" i="95"/>
  <c r="D30" i="87"/>
  <c r="D29" i="87"/>
  <c r="D28" i="87"/>
  <c r="D27" i="87"/>
  <c r="C38" i="87"/>
  <c r="C37" i="87"/>
  <c r="C36" i="87"/>
  <c r="C35" i="87"/>
  <c r="C34" i="87"/>
  <c r="C33" i="87"/>
  <c r="C32" i="87"/>
  <c r="C31" i="87"/>
  <c r="C30" i="87"/>
  <c r="C29" i="87"/>
  <c r="C28" i="87"/>
  <c r="C27" i="87"/>
  <c r="C27" i="91"/>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7" i="91"/>
  <c r="E36" i="91"/>
  <c r="E35" i="91"/>
  <c r="E34" i="91"/>
  <c r="E33" i="91"/>
  <c r="E32" i="91"/>
  <c r="E31" i="91"/>
  <c r="E30" i="91"/>
  <c r="E29" i="91"/>
  <c r="E28" i="91"/>
  <c r="E27" i="91"/>
  <c r="E38" i="95"/>
  <c r="E37" i="95"/>
  <c r="E36" i="95"/>
  <c r="E35" i="95"/>
  <c r="E34" i="95"/>
  <c r="E33" i="95"/>
  <c r="E32" i="95"/>
  <c r="E31" i="95"/>
  <c r="E30" i="95"/>
  <c r="E29" i="95"/>
  <c r="E28" i="95"/>
  <c r="E27" i="95"/>
  <c r="D30" i="80" l="1"/>
  <c r="D29" i="80" l="1"/>
  <c r="G27" i="80" s="1"/>
  <c r="C38" i="80" l="1"/>
  <c r="C37" i="80"/>
  <c r="C36" i="80"/>
  <c r="C35" i="80"/>
  <c r="C34" i="80"/>
  <c r="C33" i="80"/>
  <c r="C32" i="80"/>
  <c r="C31" i="80"/>
  <c r="C30" i="80"/>
  <c r="C29" i="80"/>
  <c r="F27" i="80" l="1"/>
  <c r="E31" i="80" l="1"/>
  <c r="E34" i="80"/>
  <c r="E35" i="80"/>
  <c r="H27" i="80"/>
  <c r="H28" i="80" s="1"/>
  <c r="H29" i="80" s="1"/>
  <c r="E37" i="80"/>
  <c r="E36" i="80"/>
  <c r="E33" i="80"/>
  <c r="E32" i="80"/>
  <c r="E29" i="80"/>
  <c r="E38" i="80"/>
  <c r="I27" i="80" l="1"/>
  <c r="E30" i="80"/>
  <c r="H30" i="80"/>
  <c r="H31" i="80" s="1"/>
  <c r="H32" i="80" s="1"/>
  <c r="H33" i="80" s="1"/>
  <c r="H34" i="80" s="1"/>
  <c r="H35" i="80" s="1"/>
  <c r="H36" i="80" s="1"/>
  <c r="H37" i="80" s="1"/>
  <c r="H38" i="80" s="1"/>
  <c r="E27" i="80"/>
  <c r="E28" i="80"/>
  <c r="F27" i="93" l="1"/>
  <c r="H27" i="91" l="1"/>
  <c r="H27" i="95"/>
  <c r="H28" i="95" s="1"/>
  <c r="H29" i="95" s="1"/>
  <c r="H30" i="95" s="1"/>
  <c r="H31" i="95" s="1"/>
  <c r="H32" i="95" s="1"/>
  <c r="H33" i="95" s="1"/>
  <c r="H34" i="95" s="1"/>
  <c r="H35" i="95" s="1"/>
  <c r="H36" i="95" s="1"/>
  <c r="H37" i="95" s="1"/>
  <c r="H38" i="95" s="1"/>
  <c r="F27" i="95"/>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s="1"/>
  <c r="I19" i="5"/>
  <c r="I17" i="5"/>
  <c r="AC17" i="5" s="1"/>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G27" i="95"/>
  <c r="I27" i="95" s="1"/>
  <c r="G27" i="92"/>
  <c r="I27" i="92" s="1"/>
  <c r="L27" i="66" l="1"/>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H37" i="91" s="1"/>
  <c r="H38" i="91" s="1"/>
  <c r="F27" i="91"/>
  <c r="G27" i="91"/>
  <c r="I27" i="91" s="1"/>
  <c r="H29" i="87"/>
  <c r="H30" i="87" s="1"/>
  <c r="H31" i="87" s="1"/>
  <c r="H32" i="87" s="1"/>
  <c r="H33" i="87" s="1"/>
  <c r="H34" i="87" s="1"/>
  <c r="H35" i="87" s="1"/>
  <c r="H36" i="87" s="1"/>
  <c r="H37" i="87" s="1"/>
  <c r="H38" i="87" s="1"/>
  <c r="G27" i="87"/>
  <c r="I27" i="87" s="1"/>
  <c r="H27" i="93"/>
  <c r="H28" i="93" s="1"/>
  <c r="H33" i="62" l="1"/>
  <c r="I33" i="62"/>
  <c r="D34" i="62"/>
  <c r="D32" i="47"/>
  <c r="H31" i="47"/>
  <c r="I31" i="47"/>
  <c r="H29" i="93"/>
  <c r="H30" i="93" s="1"/>
  <c r="H31" i="93" s="1"/>
  <c r="H32" i="93" s="1"/>
  <c r="H33" i="93" s="1"/>
  <c r="H34" i="93" s="1"/>
  <c r="H35" i="93" s="1"/>
  <c r="H36" i="93" s="1"/>
  <c r="H37" i="93" s="1"/>
  <c r="H38"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<sst xmlns="http://schemas.openxmlformats.org/spreadsheetml/2006/main" count="1328" uniqueCount="486">
  <si>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</si>
  <si>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</si>
  <si>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</si>
  <si>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</si>
  <si>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</si>
  <si>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</si>
  <si>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</si>
  <si>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</si>
  <si>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</si>
  <si>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</si>
  <si>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</si>
  <si>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</si>
  <si>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</si>
  <si>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</si>
  <si>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</si>
  <si>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</si>
  <si>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</si>
  <si>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</si>
  <si>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</si>
  <si>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</si>
  <si>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</si>
  <si>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</si>
  <si>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</si>
  <si>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</si>
  <si>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</si>
  <si>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</si>
  <si>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</si>
  <si>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</si>
  <si>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</si>
  <si>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</si>
  <si>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</si>
  <si>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</si>
  <si>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</si>
  <si>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</si>
  <si>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</si>
  <si>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</si>
  <si>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</si>
  <si>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</si>
  <si>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</si>
  <si>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</si>
  <si>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</si>
  <si>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</si>
  <si>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</si>
  <si>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</si>
  <si>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</si>
  <si>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</si>
  <si>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</si>
  <si>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</si>
  <si>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</si>
  <si>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</si>
  <si>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</si>
  <si>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</si>
  <si>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</si>
  <si>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</si>
  <si>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</si>
  <si>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</si>
  <si>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</si>
  <si>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</si>
  <si>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</si>
  <si>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</si>
  <si>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</si>
  <si>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</si>
  <si>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</si>
  <si>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</si>
  <si>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</si>
  <si>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</si>
  <si>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</si>
  <si>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</si>
  <si>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</si>
  <si>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</si>
  <si>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</si>
  <si>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</si>
  <si>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</si>
  <si>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</si>
  <si>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</si>
  <si>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</si>
  <si>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</si>
  <si>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</si>
  <si>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</si>
  <si>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</si>
  <si>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</si>
  <si>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</si>
  <si>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</si>
  <si>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</si>
  <si>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</si>
  <si>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</si>
  <si>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</si>
  <si>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</si>
  <si>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</si>
  <si>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</si>
  <si>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</si>
  <si>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</si>
  <si>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</si>
  <si>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</si>
  <si>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</si>
  <si>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</si>
  <si>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</si>
  <si>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</si>
  <si>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</si>
  <si>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</si>
  <si>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</si>
  <si>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</si>
  <si>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</si>
  <si>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</si>
  <si>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</si>
  <si>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</si>
  <si>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</si>
  <si>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</si>
  <si>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</si>
  <si>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</si>
  <si>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</si>
  <si>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</si>
  <si>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</si>
  <si>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</si>
  <si>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</si>
  <si>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</si>
  <si>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</si>
  <si>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</si>
  <si>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</si>
  <si>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</si>
  <si>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</si>
  <si>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</si>
  <si>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</si>
  <si>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</si>
  <si>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</si>
  <si>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</si>
  <si>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</si>
  <si>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</si>
  <si>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</si>
  <si>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</si>
  <si>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</si>
  <si>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</si>
  <si>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</si>
  <si>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</si>
  <si>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</si>
  <si>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</si>
  <si>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</si>
  <si>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</si>
  <si>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</si>
  <si>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</si>
  <si>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</si>
  <si>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</si>
  <si>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</si>
  <si>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</si>
  <si>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</si>
  <si>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</si>
  <si>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</si>
  <si>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</si>
  <si>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</si>
  <si>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</si>
  <si>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</si>
  <si>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</si>
  <si>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</si>
  <si>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</si>
  <si>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</si>
  <si>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</si>
  <si>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</si>
  <si>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</si>
  <si>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</si>
  <si>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</si>
  <si>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</si>
  <si>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</si>
  <si>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</si>
  <si>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</si>
  <si>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</si>
  <si>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</si>
  <si>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</si>
  <si>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</si>
  <si>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</si>
  <si>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</si>
  <si>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</si>
  <si>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</si>
  <si>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</si>
  <si>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</si>
  <si>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</si>
  <si>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</si>
  <si>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</si>
  <si>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</si>
  <si>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</si>
  <si>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</si>
  <si>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</si>
  <si>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</si>
  <si>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</si>
  <si>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</si>
  <si>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</si>
  <si>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</si>
  <si>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</si>
  <si>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</si>
  <si>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</si>
  <si>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</si>
  <si>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</si>
  <si>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</si>
  <si>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</si>
  <si>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</si>
  <si>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</si>
  <si>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</si>
  <si>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</si>
  <si>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</si>
  <si>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</si>
  <si>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</si>
  <si>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</si>
  <si>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</si>
  <si>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</si>
  <si>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</si>
  <si>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</si>
  <si>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</si>
  <si>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</si>
  <si>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</si>
  <si>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</si>
  <si>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</si>
  <si>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</si>
  <si>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</si>
  <si>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</si>
  <si>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</si>
  <si>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</si>
  <si>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</si>
  <si>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</si>
  <si>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</si>
  <si>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</si>
  <si>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</si>
  <si>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</si>
  <si>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</si>
  <si>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</si>
  <si>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</si>
  <si>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</si>
  <si>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Realizar diagnóstico e implementación de cargas laborales del Instituto Distrital de Protección y Bienestar Animal</t>
  </si>
  <si>
    <t>Meta/Actividad con territorialización</t>
  </si>
  <si>
    <t>Dependencia responsable</t>
  </si>
  <si>
    <t>Subdirección de Gestión Corporativa</t>
  </si>
  <si>
    <t>Indicador PMR</t>
  </si>
  <si>
    <t>Nombre Proyecto</t>
  </si>
  <si>
    <t>Fortalecimiento institucional de la estructura organizacional del IDPYBA Bogotá</t>
  </si>
  <si>
    <t>Código del Proyecto</t>
  </si>
  <si>
    <t>Código del proceso</t>
  </si>
  <si>
    <t>PE03</t>
  </si>
  <si>
    <t>Objetivo estratégico</t>
  </si>
  <si>
    <t>Afianzar la estructura organizacional productiva e integra, a través del desarrollo de capacidades del talento humano y un ambiente cordial</t>
  </si>
  <si>
    <t>Meta Sectorial</t>
  </si>
  <si>
    <t>Realizar el fortalecimiento institucional de la estructura orgánica y funcional de la estructura orgánica y funcional de la SDA, IDGER, JBB, E  IDPYBA</t>
  </si>
  <si>
    <t>Nombre del indicador</t>
  </si>
  <si>
    <t>Diagnósticos Desarrollados</t>
  </si>
  <si>
    <t>Tipología</t>
  </si>
  <si>
    <t>Fecha de programación</t>
  </si>
  <si>
    <t>1 de enero de 2022</t>
  </si>
  <si>
    <t>Tipo anualización</t>
  </si>
  <si>
    <t>Objetivo y descripción del Indicador</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</si>
  <si>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</si>
  <si>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Fuente u origen de Datos</t>
  </si>
  <si>
    <t>PLAN DE ACCIÓN</t>
  </si>
  <si>
    <t>Fórmula de Cálculo</t>
  </si>
  <si>
    <t>Actividades ejecutadas para la realización de Diagnóstico / actividades programadas para la realización de Diagnóstico</t>
  </si>
  <si>
    <t>Unidad de medida del indicador</t>
  </si>
  <si>
    <t>CANTIDAD</t>
  </si>
  <si>
    <t xml:space="preserve">Nombre de las Variables </t>
  </si>
  <si>
    <t>Magnitud Ejecutada</t>
  </si>
  <si>
    <t xml:space="preserve">Magnitud programada </t>
  </si>
  <si>
    <t>Actividades ejecutadas para la realización de Diagnóstico</t>
  </si>
  <si>
    <t xml:space="preserve"> Actividades programadas para la realización de Diagnóstico</t>
  </si>
  <si>
    <t>Unidad de medida (de la variable)</t>
  </si>
  <si>
    <t>Descripción de la variable</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</si>
  <si>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</si>
  <si>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</si>
  <si>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Inicio de la Serie</t>
  </si>
  <si>
    <t>Línea base</t>
  </si>
  <si>
    <t>Acumulado cuatrienio</t>
  </si>
  <si>
    <t>Fin de la Serie</t>
  </si>
  <si>
    <t>Valor de la Meta</t>
  </si>
  <si>
    <t>Frecuencia del reporte</t>
  </si>
  <si>
    <t>MENSUAL</t>
  </si>
  <si>
    <t xml:space="preserve">Justificación meta inferior a línea base </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</si>
  <si>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</si>
  <si>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</si>
  <si>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</si>
  <si>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</si>
  <si>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</si>
  <si>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</si>
  <si>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</si>
  <si>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</si>
  <si>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</si>
  <si>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 xml:space="preserve"> </t>
  </si>
  <si>
    <t>Descripción del avance de meta en el periodo</t>
  </si>
  <si>
    <t>En esta meta, se ha logrado avanzar con el proyecto de rediseño del instituto, realizando un levantamiento de cargas laborales en todas las dependencias, elaborando el documento de estudio técnico que tuviera en cuenta las competencias frentes al plan de desarrollo distrital y planes sectoriales, realizando un análisis interno, de revisión de funciones por dependencia, un análisis financiero, y un Modelo de Operación construido y presentado ante los directivos de la entidad. 
Como reto, el Instituto Distrital de Protección y Bienestar Animal tendrá que culminar las etapas de aprobación del proyecto de rediseño Institucional e iniciar con la etapa de implementación del mismo, lo que implicará para la Entidad iniciar preliminarmente con la construcción de su nueva estructura orgánica y organizacional, la construcción de un Manual Especifico de Funciones y Competencias Laborales que esté acorde a las necesidades y a la realidad institucional, construcción de nuevos mapas de procesos; revisión y actualización de todos los procedimientos, entre otras acciones que propendan por la eficiencia del gasto público, el aumento de los tiempos de respuesta de los requerimientos internos y externos</t>
  </si>
  <si>
    <t>Descripción avances y logros</t>
  </si>
  <si>
    <t>Descripción retrasos y soluciones</t>
  </si>
  <si>
    <t>Beneficios para la Comunidad/Entidad</t>
  </si>
  <si>
    <t>Se esta fortaleciendo el analisis interno y externo para el cumplimiento de la mision y visión del instituto, asi mismo se espera poder contar con un analisis de cargas que permita el balance entre los colaboradores y servidores de la entidad identificando las oportunidades de mejora que facilite la prestación del servicio y el creciemiento de la entidad</t>
  </si>
  <si>
    <t>PARTE 3. Actualización y Responsables del reporte</t>
  </si>
  <si>
    <t>Control de actualizaciones</t>
  </si>
  <si>
    <t xml:space="preserve">Fecha </t>
  </si>
  <si>
    <t>Campo modificado</t>
  </si>
  <si>
    <t>Modificación realizada.</t>
  </si>
  <si>
    <t>Responsable del Análisis</t>
  </si>
  <si>
    <t>XIMENA DEL PILAR RODRIGUEZ CIFUENTES</t>
  </si>
  <si>
    <t>Responsable del reporte</t>
  </si>
  <si>
    <t>Jefe de Oficina y/o Subdirector(a)</t>
  </si>
  <si>
    <t>GOTARDO ANTONIO YÁÑEZ ÁLVAREZ</t>
  </si>
  <si>
    <t>Firma Jefe Oficina y/o Subdirector(a)</t>
  </si>
  <si>
    <t>SUBDIRECTOR DE GESTIÓN CORPORATIVA</t>
  </si>
  <si>
    <t>Fortalecer los canales de comunicación</t>
  </si>
  <si>
    <t>Grupo Comunicaciones</t>
  </si>
  <si>
    <t>Garantizar accesibilidad a la información institucional a los grupos de valor, a través de los mecanismos y canales que disponga el Instituto</t>
  </si>
  <si>
    <t>Planes Estratégicos Formulados</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</si>
  <si>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</si>
  <si>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Plan de Acción</t>
  </si>
  <si>
    <t>Actividades ejecutadas para el fortalecimiento de los canales de comunicación / Actividades programadas para el fortalecimiento de los canales de comunicación</t>
  </si>
  <si>
    <t>Actividades ejecutadas para el fortalecimiento de los canales de comunicación</t>
  </si>
  <si>
    <t>Actividades programadas para el fortalecimiento de los canales de comunicación</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</si>
  <si>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</si>
  <si>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</si>
  <si>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Este propósito ha logrado que la Entidad se haya posicionado como referente en protección y bienestar animal, única de esta naturaleza en la Capital y el país, así como de los diferentes temas relacionados con su misionalidad, las actividades que lidera y el apoyo a su gestión diaria. Se ha logrado el acercamiento con nuevos medios de comunicación que no cubrían esta fuente previamente, y adicionalmente, se han fortalecido las relaciones con los medios aliados y neutros que atendían las publicaciones del IDPYBA.</t>
  </si>
  <si>
    <t>Acumulado Año</t>
  </si>
  <si>
    <t>Piezas Gráficas</t>
  </si>
  <si>
    <t>Videos</t>
  </si>
  <si>
    <t>Notas y Comunicados</t>
  </si>
  <si>
    <t>Publicaciones Facebook</t>
  </si>
  <si>
    <t>Publicaciones Twitter</t>
  </si>
  <si>
    <t>Publicaciones Instagram</t>
  </si>
  <si>
    <t>Impresiones en redes</t>
  </si>
  <si>
    <t xml:space="preserve">Se ha hecho una socialización masiva en el marco del free press y a través de redes sociales, llegando cada vez más a la comunidad. La tasa de retención es la más relevante este mes. Gracias al Congreso de Derecho Animal se disparó la audiencia. En cuanto a comunicados de prensa, hay un porcentaje valioso de cobertura frente a nuestros comunicados. </t>
  </si>
  <si>
    <t>CATALINA MARÍA CRUZ</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</si>
  <si>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</si>
  <si>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</si>
  <si>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</si>
  <si>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</si>
  <si>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</si>
  <si>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</si>
  <si>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</si>
  <si>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</si>
  <si>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</si>
  <si>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</si>
  <si>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</si>
  <si>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</si>
  <si>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</si>
  <si>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</si>
  <si>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</si>
  <si>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Para el reporte del periodo no se presentó ningun retraso pues se cumplió el cronograma de acuerdo a programación.</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</si>
  <si>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</si>
  <si>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Con la actualización, modificación y eliminación de documentos permite que los colaboradores apliquen los procesos como estan definidos en los documentos brindadno un mejor servicio para las partes interesadas. Adicionalmente se envian recordatorios a las areas para el reporte de las actividades programadas en el Mapa de riesgos de Corrupción , Mapas de riesgos de gestion por procesos y Plan Anticorrupción y de atención al Ciudadano.</t>
  </si>
  <si>
    <t>Andres Guerrero, Nancy Montero, Deisy Pascagaza, Leidy Rodriguez</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</si>
  <si>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</si>
  <si>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</si>
  <si>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</si>
  <si>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</si>
  <si>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</si>
  <si>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</si>
  <si>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</si>
  <si>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</si>
  <si>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</si>
  <si>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Actas de sistema de gestión de calidad elaboradas:</t>
  </si>
  <si>
    <t>Docuementos actualizados o creados:</t>
  </si>
  <si>
    <t>NA</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</si>
  <si>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</si>
  <si>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LOREN GUISELL DIAZ JIMENEZ</t>
  </si>
  <si>
    <t xml:space="preserve">Articular un plan de seguimiento a la gestión y respuesta oportuna a los requerimientos técnicos, jurídicos, contractuales y disciplinarios </t>
  </si>
  <si>
    <t>Oficina Asesora Jurídica  y SGC - Gestión Contractual</t>
  </si>
  <si>
    <t>PA02</t>
  </si>
  <si>
    <t xml:space="preserve">
Afianzar la estructura organizacional productiva e integra, a través del desarrollo de capacidades del talento humano y un ambiente cordial</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</si>
  <si>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</si>
  <si>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</si>
  <si>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</si>
  <si>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</si>
  <si>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</si>
  <si>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</si>
  <si>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</si>
  <si>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</si>
  <si>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Mediante esta meta y este indicador el Instituto Distrital de Protección y Bienestar Animal busca generar su direccionamiento jurídico integral para la defensa y respuesta de la entidad, la cual consiste en dar respuesta oportuna y de fondo a las solicitudes realizadas por ciudadanos, dependencias internas, entes de control y demás entidades gubernamentales. Por otra parte, para resolver el 100% de las solicitudes de los procesos judiciales, requerimientos contractuales y de materia disciplinaria en los términos establecidos por las normas legales vigentes.</t>
  </si>
  <si>
    <t xml:space="preserve">Se actualizan y/o elaboran  41 documentos,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</si>
  <si>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Peticiones - oficios recibidos y tramitados:</t>
  </si>
  <si>
    <t>Tutelas y demandas respondidas:</t>
  </si>
  <si>
    <t>Diligencias judiciales atendidas:</t>
  </si>
  <si>
    <t>Denuncias tramitadas o gestionadas:</t>
  </si>
  <si>
    <t>Contratos elaborados:</t>
  </si>
  <si>
    <t>Novedades contractuales:</t>
  </si>
  <si>
    <t>Derechos de petición respondidos, PQR, Requerimientos:</t>
  </si>
  <si>
    <t>Certificaciones de Contratos y paz y salvos</t>
  </si>
  <si>
    <t>Expedientes gestionados:</t>
  </si>
  <si>
    <t>Derechos de petición respondidos:</t>
  </si>
  <si>
    <t>Autos inhibitorios o fallos de primera instancia:</t>
  </si>
  <si>
    <t>Se presentan quejas por anónimo y de la vaguedad e imprecisión de las supuestas acciones irregulares informadas, se infiere la falta de fundamento y credibilidad de los hechos documentos en comento. Lo anterior con respaldo en el numeral 1° del artículo 27 de la Ley 24 de 1992, que prohíbe al Ministerio Público la activación del aparato estatal por la vía del control disciplinario, como consecuencia de un anónimo, norma que es recogida por la Ley 190 de 1995, en cuyo artículo 38 establece:“(...) se aplicará en materia penal y disciplinaria, a menos que existan medios probatorios suficientes sobre la comisión de un delito o infracción disciplinaria que permitan adelantar la actuación de oficio (...)”. Razón por la cual de los radicados presentados por anónimos que ingresaron para el mes de febrero se profirieron autos de impedimento.</t>
  </si>
  <si>
    <t>Se responde a las peticiones ciudadanas radicadas en el Sistema Distrital de Quejas y Soluciones (SDQS), procurando un mejor desempeño de la Administración Pública.</t>
  </si>
  <si>
    <t>Vanessa Paez - Ingrid Rodriguez - Maryury Ramos</t>
  </si>
  <si>
    <t>Yuly Patricia Castro Beltran  - Gotardo Antonio Yáñez Alvarez</t>
  </si>
  <si>
    <t>Realizar un diagnostico de fortalecimiento institucional que cumpla con las necesidades de los procesos transversales del IDPYBA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</si>
  <si>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</si>
  <si>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</si>
  <si>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</si>
  <si>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</si>
  <si>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</si>
  <si>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</si>
  <si>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Cantidad de actividades que se ejecutaron para la implementacion de los procesos transversales</t>
  </si>
  <si>
    <t xml:space="preserve">Este objetivo tiene relación con la necesidad de realizar fortalecimiento a los procesos transversales que le competen a la Subdirección de Gestión Corporativa, esto tiene relación a las funciones establecidas dentro del Acuerdo 003 de 2017 “establecer, coordinar y evaluar la ejecución de los planes y programas de incentivos y bienestar social, de capacitación y de seguridad y salud en el trabajo”, así como “Dirigir la implementación, administración y gestión de los recursos tecnológicos, informáticos y de comunicaciones, de acuerdo a los requerimientos del Instituto”, de otra parte, esta dependencia cuenta dentro de sus funciones con la responsabilidad de “definir las políticas y establecer los mecanismos de implementación del sistema de quejas y reclamos de la entidad conforme con la normatividad vigente”, entre otras funciones inherentes a la función administrativa de la entidad.
Por medio de esta meta se han realizado las actividades y se ha dado cumplimiento al Plan Institucional de Gestión Ambiental y al Plan de Acción Cuatrienal Ambiental – PACA, conforme a la normatividad vigente; es de la misma manera, que se ha apoyado el cumplimiento de las actividades programadas dentro de los Planes de Desarrollo Institucional, a saber: Plan Institucional de Archivos, Plan de Seguridad y salud en el trabajo, Plan Anual de Vacantes, Plan de Previsión, Plan anual de incentivos, Plan estratégico de Talento humano y Plan Institucional de Capacitaciones, dentro de otras actividades propias de la Gestión Estratégica del Talento Humano que son realizadas a manera de fortalecimiento de las actividades del presupuesto de funcionamiento. 
Adicionalmente, por medio de esta meta se realiza seguimiento a los proyectos de inversión y a actividades de enlace administrativos, financieros, jurídicos y de planeación; de otra parte, se fortalecen actividades relacionadas con la operación de los procesos internos de administración y gestión documental. De otra parte, se financia la operación del grupo de servicio al ciudadano, por medio del cual se canalizan las peticiones internas y externas de los ciudadanos por medio de los canales virtuales, telefónicos y físicos. Así como la prestación de, servicio al ciudadano en la Red CADE del Distrito, en las localidades con mayor incidencia de nuestra misionalidad. </t>
  </si>
  <si>
    <t xml:space="preserve">PQRS recibidas: </t>
  </si>
  <si>
    <t>Satisfacción ciudadana:</t>
  </si>
  <si>
    <t>Asesorías dadas:</t>
  </si>
  <si>
    <t>Capacitaciones:</t>
  </si>
  <si>
    <t>Actividades de bienestar:</t>
  </si>
  <si>
    <t>Actividades del PASST:</t>
  </si>
  <si>
    <t>Actividades FURAG-MIPG:</t>
  </si>
  <si>
    <t>Ingresos, salidas y traslados:</t>
  </si>
  <si>
    <t>Vehiculos asignados:</t>
  </si>
  <si>
    <t>Proveedores gestionados:</t>
  </si>
  <si>
    <t>Mantenimientos realizados</t>
  </si>
  <si>
    <t>Campañas realizadas:</t>
  </si>
  <si>
    <t>Reportes realIzados</t>
  </si>
  <si>
    <t>CDP Y CRP expedidos:</t>
  </si>
  <si>
    <t>Seguimientos y modificaciones al PAA:</t>
  </si>
  <si>
    <t>Giros por pospre realizados:</t>
  </si>
  <si>
    <t>Operaciones contables:</t>
  </si>
  <si>
    <t>Transferencias documentales realizadas</t>
  </si>
  <si>
    <t>Capacitaciones realizadas:</t>
  </si>
  <si>
    <t>Revisiónes de expedientes o intervenciones</t>
  </si>
  <si>
    <t>Con esta meta, se genera un fortalecimiento y una garantía para la gestión eficiente y eficaz del Instituto Distrtital de Protección y Bienestar Animal. Se garantiza para el  Instituto Distrital de Protección y Bienestar Animal la prestación de los bienes y servicios que requiere para su operación, la conservacion de la memoria historica, la atención y servicio a la ciudadanía en el marco de la gestión ambiental.</t>
  </si>
  <si>
    <t>Implementar un plan de acción para el cumplimiento de la estrategia de los procesos TIC del Instituto acorde con los lineamientos establecidos en el Decreto 415 de 2016</t>
  </si>
  <si>
    <t>Subdireccion de Gestion Corporativa - TIC</t>
  </si>
  <si>
    <t>PA04</t>
  </si>
  <si>
    <t xml:space="preserve">Desarrollar herramientas técnicas, dinámicas y confiables, a través del manejo y gestión de conocimiento. </t>
  </si>
  <si>
    <t>Planes De Acción O Gestión Formulados.</t>
  </si>
  <si>
    <t>Medir la implementación un plan de accion de la estrategia de los procesos TIC del Instituto acorde con los lineamientos</t>
  </si>
  <si>
    <t>PLAN DE ACCION</t>
  </si>
  <si>
    <t>Actividades que se ejecutaron para la implementacion de plan de trabajo TIC/Actividades que se programaron para la implementacion implementacion de plan de trabajo TIC</t>
  </si>
  <si>
    <t>Actividades que se ejecutaron para la implementacion de los procesos transversales</t>
  </si>
  <si>
    <t>AVANCE MES</t>
  </si>
  <si>
    <t>ACUMULADO AÑO</t>
  </si>
  <si>
    <t>Solicitudes gestionadas por la mesa de servicios:</t>
  </si>
  <si>
    <t>Publicaciones realizadas en sitios web:</t>
  </si>
  <si>
    <t>MONICA LIZETH GARZÓN</t>
  </si>
  <si>
    <t>SUBDIRECTOR DE GESTION CORPORATIVA</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</si>
  <si>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</si>
  <si>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</si>
  <si>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</si>
  <si>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</si>
  <si>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</si>
  <si>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</si>
  <si>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</si>
  <si>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</si>
  <si>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</si>
  <si>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</si>
  <si>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</si>
  <si>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</si>
  <si>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</si>
  <si>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</si>
  <si>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</si>
  <si>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</si>
  <si>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</si>
  <si>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</si>
  <si>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</si>
  <si>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</si>
  <si>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</si>
  <si>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</si>
  <si>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</si>
  <si>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</si>
  <si>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</si>
  <si>
    <t>Se acompañaron los laboratorios cívicos de fase 2 de presupuestos participativos de las siguientes localidades: San Cristóbal, Puente Aranda, Ciudad Bolívar, Sumapaz, Usme, Rafael Uribe Uribe y Candelaria. Así mismo se realizaron comentarios en mesa de trabajo al proyecto local de bienestar animal de la localidad de Teusaquillo.</t>
  </si>
  <si>
    <t>Se realizó la revisión y concepto de viabilidad de las Causas Ciudadanas propuestas para 2022, con el fin de establecer las causas viables técnica y financieramente que pasarán a la etapa de votación ciudadana.</t>
  </si>
  <si>
    <t>Se actualizan y/o elaboran 5 documentos, se actualiza el listado maestro de documentos para que todos los funcionarios y colaboradores tengan las ultimas versiones de los documentos.</t>
  </si>
  <si>
    <t xml:space="preserve"> 934 CDP y 933 CRP</t>
  </si>
  <si>
    <t>23 PAA</t>
  </si>
  <si>
    <t>117CDP y 101CRP</t>
  </si>
  <si>
    <t>En el mes de agosto de 2022 se realizó los reportes en PMR, SPI, POA, Alertas y Recomendaciones, seguimiento al POA  y Hojas de vida de indicadores correspondientes al mes de julio de 2022. Se acompañó a las Subdirecciones tecnicas en las modificaciones del Plan de Adquisiciones que requerían traslados presupuestales entre metas de los proyectos.
De acuerdo a cronograma, se recibieron de las Subdirecciones las primeras versiones del anteproyecto de presupuesto las cuales fueron revisadas y se remitieron por correo electronico a las Subdirecciones con observaciones para ser ajustadas. Posterior a ello, se recibieron los versiones ajustadas y se procedió a revisar y consolidar en un solo documento para ser presentadas a Dirección.
Con la informacion suministrada, se procedió a realizar presentación de acuerdo a los requisitos mínimos de acuerdo a los lineamientos dados por la Secretaría de Hacienda Distrital en la circular SHD-000004. Esta presentación fue presentada a la Secretaría Distrital de Planeación y Secretaria de Hacienda Distrital.
Se realizó acompañamiento al proceso de formulación de la política púbica de Acción Comunal, construyendo la propuesta de producto en responsabilidad del IPDYBA en el formato de matriz de plan de acción y ficha técnica de indicador de producto. Se dio continudiad a las mesas de acompañamiento a la formulación de la PP de Ruralidad.
Se realizó una mesa de trabajo  con el equipo técnico de la Secretaría Distrital de Planeación para la solicitud de ajustes en el plan de acción de la Política Pública de Protección y Bienestar Animal.
Se dio acompañamiento técnico a los laboratorios cívicos de la fase 2 de presupuestos participativos de las localidades: Chapinero, Santa fe, Antonio Nariño, Usaquén, Usme, Rafael Uribe Uribe, Fontibón y 1 socialización en el CLPYBA de Suba. Así mismo, se realizó el cargue de 36 iniciativas de la fase 2 de presupuestos participativos en la Plataforma de Gobierno Abierto.</t>
  </si>
  <si>
    <t>2 Tutelas y 1 Acción Popular</t>
  </si>
  <si>
    <t>18 Acciones Constitucionales</t>
  </si>
  <si>
    <t>146 y 3 oficios de excusa</t>
  </si>
  <si>
    <t>925 y 59 oficios de excusa</t>
  </si>
  <si>
    <t>7</t>
  </si>
  <si>
    <t>26</t>
  </si>
  <si>
    <r>
      <rPr>
        <b/>
        <sz val="11"/>
        <color theme="1"/>
        <rFont val="Arial"/>
        <family val="2"/>
      </rPr>
      <t>OFICINA DE CONTROL INTERNO DISCIPLINARIO:</t>
    </r>
    <r>
      <rPr>
        <sz val="11"/>
        <color theme="1"/>
        <rFont val="Arial"/>
        <family val="2"/>
      </rPr>
      <t xml:space="preserve"> Para el mes de AGOSTO  de 2022, se ha trámitado  en total: 
1. Proyecto de respuesta Radicado No.2022ER0009647
2. ocho  (8) autos decretando pruebas ( 2019IE031, 2019IE029,2019IE014,2019IE015,2019IE016,2019IE009,2019IE008,022IE013
3. Seis (6) autos de archivo (2020IE005, 2021IE018, 2019IE031, 2019IE033, 2020IE014, 2022IE008
4. dos (2) impedimentos (2020IE003, 2019IE025
5. tres (3) aperturas de actuacion Disciplinaria (2022IE039, 2022IE034,2019IE009)</t>
    </r>
  </si>
  <si>
    <t>Durante el mes de agosto se realizarón ajustes al estudio técnico y a algunos anexos que hacen parte integral del estudio técnico con base a la respuesta emitida por el Departamento Administrativo del Servicio Civil Distrital DASCD, de esta manera se atienden las recomendaciones y se genera nuevamente radicado ante esta entidad para dar continuidad con el proceso.</t>
  </si>
  <si>
    <t>RUTH YANED VARGAS RICO</t>
  </si>
  <si>
    <t>Para la oficina de Tecnología es muy importante contar con la Seguridad y Privacidad de la Información del Instituto ya que actualmente: 
•	Se realizó la sensibilización en temas de seguridad y privacidad de la información
•	Se comenzaron a realizar pruebas controladas de Ingeniería social (Phishing)
•	Se están haciendo copias periódicas de la información del Instituto, por lo cual las plataformas de almacenamiento y backup están en operación
•	Se establecieron nuevos lineamientos para la contratación con ETB en lo referente a la seguridad y disponibilidad de la información del Instituto en el nuevo contrato.
En relación con la sede electrónica se realiza actualización de la información del ítem de ley de transparencia y acceso a la información pública de acuerdo con la matriz ITA.
Adicionalmente con los Sistemas de Información: Se da inicio al desarrollo del Sistema de Mesa de Servicios y el desarrollo para pagos por PSE a través del Sistema Esterilizar Salva.</t>
  </si>
  <si>
    <t xml:space="preserve">Los beneficios obtenidos para la comunidad fueron los siguientes: Se amplio el cupo de Turnos de Esterilizaciones para la comunidad en todas las Localidades                                                                                                                                                                                                                       Con el Sistema de Adopciones los usuarios podrán visualizar a través del movil o la sede electrónica los animales (Canino o Felino) que se encuentran en proceso de adopción con su respectiva descripción, edad, si presentan condición especial, etc.                                                                                                                                                    Con el Sistema de Redes las Alcaldías Locales realizan registro y seguimiento en relación a la información de los proteccionistas a nivel distrital.					</t>
  </si>
  <si>
    <r>
      <t xml:space="preserve">EQUIPO DE ATENCIÓN AL CIUDADANO:  </t>
    </r>
    <r>
      <rPr>
        <sz val="10"/>
        <color theme="1"/>
        <rFont val="Arial"/>
        <family val="2"/>
      </rPr>
      <t>Durante el mes de agosto se radicó un total de 1.236 derechos de petición a través de los diferentes canales de atención, y fueron direccionados a las diferentes dependencias del IDPYBA, en el mes se respodieron 16 peticiones fuera de terminos de Ley. Se realiza mesa de trabajo con las dependencia para realizar seguimeinto a la calidad de las respuestas y opotunidad de los derechos de petición.
Se realizaron 3110 asesorías a través de los canales de atención dispuestos por el IDPYBA, en donde la mayor solicitud es de entrega de turnos para esterilizaciones y el canal más utilizado es el telefónico y presencial, dado que estamos ubicados en 7 puntos de la red CADE.
El 80% de los ciudadanos se encuentra satisfechos con la atención recibida, El porcentaje de personas que se encuentran insatisfechas manifiestan inconformidad con el tiempo de gestion  de las peticiones realizadas por los ciudadanos y el proceso para agendamiento de esterilización por falta de cupos.</t>
    </r>
  </si>
  <si>
    <r>
      <rPr>
        <b/>
        <sz val="10"/>
        <color theme="1"/>
        <rFont val="Arial"/>
        <family val="2"/>
      </rPr>
      <t>GESTION DE TALENTO HUMANO</t>
    </r>
    <r>
      <rPr>
        <sz val="10"/>
        <color theme="1"/>
        <rFont val="Arial"/>
        <family val="2"/>
      </rPr>
      <t>: Para el mes de agosto de 2022 se tenian programadas 6 capacitaciones de las cuales se realizaron 6: Capacitación Orientación y cultura de servicio ciudadano, Capacitación Malware y gestión de riesgos en la seguridad de la información, Capacitación Seguridad vial, Capacitación Regreso a la presencialidad, Capacitación Manejo y resolución de conflictos, Capacitación Ahorro y uso eficiente de agua. Así mismo, en el plan de bienestar e incentivos, se tenían programadas 5 actividades de las cuales se ejecutaron 5. Por otra parte, en el Plan de SST se tenían programadas 5 actividades de las cuales se ejecutaron 5:  Diligenciamiento de los indicadores, según el tiempo de periodicidad de los mimos en la plataforma SIDEAP, se realizó seguimiento al COPASST, se realizó revisión al profesiograma, se realizaron mediciones higiénicas de iluminación en la UCA
 y se realizó el reporte e investigación de los accidentes de trabajo presentados: En el PESV, se cumplió a cabalidad con las actividades programadas. Finalmente, se dio cumplimiento a la reinducción programada en el tiempo establecido. Respecto al FURAG el 31 de agosto de 2022 se subieron las evidencias de las actividades contempladas en el cronograma del Plan de Mejoramiento del Furag 2021.</t>
    </r>
  </si>
  <si>
    <r>
      <rPr>
        <b/>
        <sz val="10"/>
        <color theme="1"/>
        <rFont val="Arial"/>
        <family val="2"/>
      </rPr>
      <t>EQUIPO DE RECURSOS FÍSICOS</t>
    </r>
    <r>
      <rPr>
        <sz val="10"/>
        <color theme="1"/>
        <rFont val="Arial"/>
        <family val="2"/>
      </rPr>
      <t>:
1- Se realiza la programación de  los servicios que prestan los vehiculos en calidad de alquiler, programacion que se realiza de manera semanal de acuerdo con la solicitud de cada uno de los equipos que requieren el servicio, asi mismo se da respuesta efectiva a las solicitudes extemporaneas recibidas, de acuerdo a que se realizo disminucion en el numero de vehiculos externos que prestan el servicio al Instituto, se redujo la prestacion del servicio. Mediante el contrato de transportes se aporta al cumplimiento de la misionalidad del Instituto, mediante la correcta prestacion del servicio, tanto para el transporte de personal como para el transporte de animales y acompañamiento a las diferentes convicatorias realizadas por entidadades en cumplimiento compromisos de ciudad.
2 Se tramite el pago de las obligaciones financieras, de acuerdo con el cumplimiento de los provedores, asi mismo se aporta  en la ejecucion presupuestal para el 2022, durante este mes se generaron pagos penditnes, los cuales no habian sigo facturados en mees anteriores. Todos los provedores cumplieron co  la presentacion del informe y soportes para generar las acciones tendientes para el pago de las obligaciones financieras del Instituto.
3 - Con el cumplimiento de esta actividad, se logran mantener el normal funcionamiento de la sede adminsitrativa, actividades solicitadas por el equipo de recursos fisicos del Instituto, en cumplimiento de las actividades programadas dentro del plan de mantenimiento.</t>
    </r>
  </si>
  <si>
    <t xml:space="preserve">6 ingresos, 208 salidas, 2 reintegros 22 traslados,  2 compras, </t>
  </si>
  <si>
    <t xml:space="preserve">86 ingresos; 1668 salidas; 236 traslados; 8 reintegros; 25 compras  8 bajas </t>
  </si>
  <si>
    <r>
      <t xml:space="preserve">EQUIPO DE GESTIÓN AMBIENTAL: </t>
    </r>
    <r>
      <rPr>
        <sz val="10"/>
        <rFont val="Arial"/>
        <family val="2"/>
      </rPr>
      <t>Durante el mes de agosto se realizo seguimiento al contrato de residuos peligrosos con la empresa DESCONT y a la Empresa SINPLAGAX.  Adicionalmente, se desarrollaron 11 actividades de ese PIGA;  se realizo 1 reporte a la secreteria distrital de ambiente sobre el seguimiento al PACA en la plataforma STORM,  se desarrollaron actividades relacionadas con los residuos peligrosos, prácticas sostenibles, seguimiento a la PTAR,  movilidad sostenible, bicicaravanas, biciusuarios, poda, grupo ASEI.</t>
    </r>
  </si>
  <si>
    <r>
      <t xml:space="preserve">EQUIPO DE GESTIÓN FINANCIERA: </t>
    </r>
    <r>
      <rPr>
        <sz val="10"/>
        <color rgb="FF000000"/>
        <rFont val="Arial"/>
        <family val="2"/>
      </rPr>
      <t>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t>
    </r>
  </si>
  <si>
    <r>
      <t xml:space="preserve">NOTA: </t>
    </r>
    <r>
      <rPr>
        <sz val="10"/>
        <color rgb="FF000000"/>
        <rFont val="Arial"/>
        <family val="2"/>
      </rPr>
      <t>En cuanto a algunos CDP y CRP, cada documento debe expedirse tres veces, esto debido a que se expide en un rubro por cada elemento PEP, que si bien sigue siendo el mismo documento y el mismo consecutivo, el tramite se realiza una vez por cada elemento.</t>
    </r>
  </si>
  <si>
    <r>
      <t xml:space="preserve">EQUIPO DE GESTIÓN DOCUMENTAL: </t>
    </r>
    <r>
      <rPr>
        <sz val="10"/>
        <rFont val="Arial"/>
        <family val="2"/>
      </rPr>
      <t>Se continua con el plan de trabajo para llevar a cabo las transferencias documentales, la cual es descripción y comprende el diligenciamiento de hojas de control y de FUID, que en conjunto se deben hacer de manera digital.
Por lo anterior se contempla acudir al Comité de Gestión y Desempeño con el fin de solicitar un plazo adicional que permita cumplir a cabalidad con las transferencias pendientes.</t>
    </r>
  </si>
  <si>
    <t>Natalia Roncancio; Fredy Arizas; Johan Pulido; Laura Cabrera, Diana Gomez</t>
  </si>
  <si>
    <t>Q</t>
  </si>
  <si>
    <t>Ruth Yaned Vargas Rico</t>
  </si>
  <si>
    <r>
      <rPr>
        <b/>
        <sz val="9"/>
        <color theme="1"/>
        <rFont val="Arial"/>
        <family val="2"/>
      </rPr>
      <t>OFICINA ASESORA JURIDICA</t>
    </r>
    <r>
      <rPr>
        <sz val="9"/>
        <color theme="1"/>
        <rFont val="Arial"/>
        <family val="2"/>
      </rPr>
      <t xml:space="preserve">: 
Durante el mes de agostode 2022, la Oficina Asesora Jurídica recibio 266 peticiones y oficios tal como lo evidencia el correo que remite el control de correspondencia de la OAJ, los cuales fueron tramitados en los terminos legalmente establecidos. Asimismo, se dio respuesta a 2 acciones de tutela No. 2022-00229 del Juzgado 4º Penal del Circuito con Funciones de Conocimiento de Bogotá D.C., y No. 2022-00124 del Juzgado 2 Penal Municipal con Función de Control de Garantías de Bogotá D.C, asimismo, se contesto la Acción Popular No. 2021-00274 del Juzgado 39 Administrativo del Circuito Judicial de Bogotá. Se profirió el fallo de la Acción de Tutela 2022-00229 del 17 de agosto de 2022. Se efectuaron seguimientos semanales a los procesos judiciales vigentes en la página de la rama y se realizó la correspondiente actualización de las actuaciones judiciales en el SIPROJ. Se asistió a 146 diligencias judiciales y se elaboraron 3 oficios de excusas dirigidos a los Juzgados y/o autoridades competentes.   
Se elaboraron 7 denuncias la cuales ingresaron 5 por intermedio de las asesorías al Centro de Atención Jurídica, y 2 fueron trasladadas por la Subdirección de Atención a la Fauna. Se constituyó al IDPYBA como representante de víctimas en la audiencia de formulación de imputación de cargos de fecha 22 de agosto de 2022 ante el Juzgado 33°Penal Municipal con función control de garantías. Se realizó 1 diligencia judicial en la audiencia de formulación de acusación de fecha el 17 de agosto de 2022 ante el Juzgado 17° Penal Municipal con Función de Conocimiento. Se acompañó al operativo de fecha 19 de agosto de la anualidad convocado por la Alcaldía Local de Teusaquillo. 
Se materializan 2 protocolos con los que se busca dictar las condiciones para el manejo de caninos en empresas de vigilancia y seguridad privada, de las brigadas médicas para caninos y felinos y las condiciones para la comercialización de animales de domésticos de compañía para blindar jurídicamente al instituto de un posible daño antijurídico. Se realiza control de legalidad de los actos administrativos emitidos por el IDPYBA, garantizando un blindaje jurídico al instituto, atendiendo a la Política Institucional de Prevención del Daño Antijurídico, asimismo, se realizó el análisis y la consolidación de los comentarios a los proyectos de Ley y Acuerdo solicitados.
En el mes de agosto se recibieron 61 consultas para asesoría jurídica, las cuales se desarrollan de manera Mixta (presencial - Virtual), haciendo que estas sean lo más personalizadas posible. Se realizó el II ciclo de Formación Ético- Jurídica en Protección, Bienestar y Defensa Animal, que se lleva a cabo del 8 al 12 de agosto del 2022, con una intensidad de 10 horas en las que participaron 130 estudiantes de las universidades con las que el IDPYBA tiene convenio en la atención a ciudadanos por medio de los Consultorios jurídicos. Se realizó capacitación del Centro de Atención Jurídica para la Protección y Bienestar Animal (CAJPYBA), al grupo de Servicio al Ciudadano de la Subdirección de Corporativa, la cual se desarrolló el 11 de agosto de 2022, en la que participaron 13 funcionarios del IDPYBA. Se realizó la implementación del aplicativo “Atención Jurídica Animales a un clic” como un mecanismo de agendamiento de turno para recibir asesoría jurídica por parte del CAJPYBA, mediante el cual se han incrementado el ingreso de casos y especialmente permite que los usuarios agenden la cita directamente, evitando así dilaciones para la atención del mismo, finalmente, se trabajo en la visibilidad del CAJ a través de diferentes medios de comunicación masiva: El Tiempo, CityTV (Bravissimo y Arriba Bogotá), Radio Nacional de Colombia, y otros medios. </t>
    </r>
  </si>
  <si>
    <r>
      <rPr>
        <b/>
        <sz val="10"/>
        <color theme="1"/>
        <rFont val="Arial"/>
        <family val="2"/>
      </rPr>
      <t xml:space="preserve">SUBDIRECCIÓN DE GESTIÓN CORPORATIVA: GRUPO CONTRACTUAL: </t>
    </r>
    <r>
      <rPr>
        <sz val="10"/>
        <color theme="1"/>
        <rFont val="Arial"/>
        <family val="2"/>
      </rPr>
      <t xml:space="preserve">
En total se suscriben 18  contratos 
de Bienes y Servicios:
 - SASI-006-2022 
- CD-379-2022
-LP-003-2022
-CD-384-2022
1 OC de compra 92947
- 13 Contratos CPS
Modificaciones Tramitadas:
- Adición y prórroga 0
- Cesión de Contrato 4
- Prórrogas 3
- Adición  0
- Suspensiones  4
- Terminación Anticipada 4
- Otras modificaciones a 4 Contratos
Solicitud de Liquidacion de Contrato 1
Se realiza la presentacion de Informes a Sivicof- Sideap Informe e Informe Preliminar Veeduria a Junio 30
Se da respuesta a:
- 2 Derechos de peticion, 
Se da respuesta tambien a
-34 solicitudes de Certificaciones de Contratos 
-26 tramite de Paz y Salvos </t>
    </r>
  </si>
  <si>
    <t xml:space="preserve">Jefe de la Oficina Asesora Juridica - Subdirector de Gestión Corporativa </t>
  </si>
  <si>
    <t>El Equipo MIPG de la Oficina Asesora de Planeación, es la encargada de liderar la Implementación de Modelo Integrado de Planeación y Gestión, dentro de sus actividades tiene el desarrollo y seguimiento a planes de mejoramiento y reportes es por esto que a continuación se desglosan las actividades que se programaron y el desarrollo de las mismas: 
Para el mes de agosto se envian correos recordatorios a las diferentes areas de la entidad para que tengan presenten las actividades pactadas para el segundo cuatrimestre de la vigencia 2022 en materia de Plan Anticorrupción y Atención al Ciudadano asi mismo de los riesgos de corrupcion y de los Riesgos por Procesos, tambien se envian los correos con los links para el cargue de evidencias y diligenciamiento del segundo autocontrol del Plan Anticorrupción y Atención al Ciudadano asi mismo de los riesgos de corrupcion asociados y de los Riesgos por Procesos, se realizan mesas de trabajo con los diferentes procesos para brindar asesoria y realizar revisiones preliminares de procedimientos y documentos asociados para ser actualizados y/o adoptados, tambien se adelanta la impresión de documentos vigentes y obsoletos para realizar transferencia documental de los 14 procesos del instituto, frente al FURAG se contruyo una herramienta para la consolidación y seguimiento del plan de mejoramiento y sostenibilidad FURAG - planer, adicional se envia instructivo de uso a los lideres de las actividades, se envian correos recordatorios de las actividades con vencimiento a corte de julio y agosto y consolidación de inquietudes, solicitudes de aopoyo a la mesa sectorial de ambiente asociadas al plan de sostenibilidad y mejoramiento.En el mes de agosto se reporta reprogramacion de gobierno abierto y primer seguimiento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</si>
</sst>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_);_(* \(#,##0\);_(* &quot;-&quot;_);_(@_)"/>
    <numFmt numFmtId="165" formatCode="_(* #,##0.00_);_(* \(#,##0.00\);_(* &quot;-&quot;??_);_(@_)"/>
    <numFmt numFmtId="166" formatCode="_-* #,##0.00\ &quot;€&quot;_-;\-* #,##0.00\ &quot;€&quot;_-;_-* &quot;-&quot;??\ &quot;€&quot;_-;_-@_-"/>
    <numFmt numFmtId="167" formatCode="&quot;$&quot;\ #,##0_);[Red]\(&quot;$&quot;\ #,##0\)"/>
    <numFmt numFmtId="168" formatCode="_(&quot;$&quot;\ * #,##0.00_);_(&quot;$&quot;\ * \(#,##0.00\);_(&quot;$&quot;\ *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0.0"/>
    <numFmt numFmtId="176" formatCode="_(* #,##0.0_);_(* \(#,##0.0\);_(* &quot;-&quot;??_);_(@_)"/>
    <numFmt numFmtId="177" formatCode="0.0"/>
    <numFmt numFmtId="178" formatCode="0.000"/>
    <numFmt numFmtId="179" formatCode="_(* #,##0.000_);_(* \(#,##0.000\);_(* &quot;-&quot;??_);_(@_)"/>
  </numFmts>
  <fonts count="89"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
      <sz val="8"/>
      <color theme="1"/>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0"/>
        <bgColor rgb="FF000000"/>
      </patternFill>
    </fill>
  </fills>
  <borders count="1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s>
  <cellStyleXfs count="321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5" fontId="33" fillId="0" borderId="0" applyFont="0" applyFill="0" applyBorder="0" applyAlignment="0" applyProtection="0"/>
    <xf numFmtId="164" fontId="33" fillId="0" borderId="0" applyFont="0" applyFill="0" applyBorder="0" applyAlignment="0" applyProtection="0"/>
    <xf numFmtId="41" fontId="33" fillId="0" borderId="0" applyFont="0" applyFill="0" applyBorder="0" applyAlignment="0" applyProtection="0"/>
    <xf numFmtId="165"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cellStyleXfs>
  <cellXfs count="901">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4" fontId="33" fillId="0" borderId="0" xfId="1251" applyFont="1"/>
    <xf numFmtId="164"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0" fontId="54" fillId="0" borderId="36" xfId="0" applyFont="1" applyBorder="1" applyProtection="1">
      <protection hidden="1"/>
    </xf>
    <xf numFmtId="0" fontId="54" fillId="0" borderId="13" xfId="0" applyFont="1" applyBorder="1" applyProtection="1">
      <protection hidden="1"/>
    </xf>
    <xf numFmtId="0" fontId="54" fillId="0" borderId="26" xfId="0" applyFont="1" applyBorder="1" applyProtection="1">
      <protection hidden="1"/>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0" fontId="54" fillId="0" borderId="152" xfId="1371" applyFont="1" applyBorder="1" applyAlignment="1" applyProtection="1">
      <alignment vertical="center" wrapText="1"/>
      <protection locked="0"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8"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59" fillId="50" borderId="152" xfId="1371" applyFont="1" applyFill="1" applyBorder="1" applyAlignment="1" applyProtection="1">
      <alignment vertical="center" wrapText="1"/>
      <protection locked="0" hidden="1"/>
    </xf>
    <xf numFmtId="0" fontId="59" fillId="50" borderId="152" xfId="1371" applyFont="1" applyFill="1" applyBorder="1" applyAlignment="1" applyProtection="1">
      <alignment horizontal="justify" vertical="center" wrapText="1"/>
      <protection locked="0" hidden="1"/>
    </xf>
    <xf numFmtId="0" fontId="8" fillId="61" borderId="152" xfId="1371" applyFont="1" applyFill="1" applyBorder="1" applyAlignment="1" applyProtection="1">
      <alignment horizontal="left" vertical="center" wrapText="1"/>
      <protection hidden="1"/>
    </xf>
    <xf numFmtId="0" fontId="70"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9" fillId="0" borderId="152" xfId="1371" applyFont="1" applyBorder="1" applyAlignment="1" applyProtection="1">
      <alignment vertical="center" wrapText="1"/>
      <protection locked="0" hidden="1"/>
    </xf>
    <xf numFmtId="0" fontId="59" fillId="50" borderId="152" xfId="1371" applyFont="1" applyFill="1" applyBorder="1" applyAlignment="1" applyProtection="1">
      <alignment vertical="top" wrapText="1"/>
      <protection locked="0" hidden="1"/>
    </xf>
    <xf numFmtId="0" fontId="59" fillId="50" borderId="152" xfId="1371" applyFont="1" applyFill="1" applyBorder="1" applyAlignment="1" applyProtection="1">
      <alignment horizontal="center" vertical="center" wrapText="1"/>
      <protection locked="0" hidden="1"/>
    </xf>
    <xf numFmtId="0" fontId="71" fillId="0" borderId="152" xfId="1371" applyFont="1" applyBorder="1" applyAlignment="1" applyProtection="1">
      <alignment horizontal="center" vertical="center"/>
      <protection hidden="1"/>
    </xf>
    <xf numFmtId="0" fontId="71" fillId="0" borderId="33" xfId="1371" applyFont="1" applyBorder="1" applyAlignment="1" applyProtection="1">
      <alignment horizontal="center" vertical="center"/>
      <protection hidden="1"/>
    </xf>
    <xf numFmtId="1" fontId="59" fillId="0" borderId="152" xfId="1250" applyNumberFormat="1" applyFont="1" applyFill="1" applyBorder="1" applyAlignment="1" applyProtection="1">
      <alignment horizontal="center" vertical="center" wrapText="1"/>
      <protection locked="0" hidden="1"/>
    </xf>
    <xf numFmtId="0" fontId="59" fillId="0" borderId="152" xfId="1371" applyFont="1" applyBorder="1" applyAlignment="1" applyProtection="1">
      <alignment horizontal="center" vertical="center" wrapText="1"/>
      <protection locked="0" hidden="1"/>
    </xf>
    <xf numFmtId="0" fontId="51" fillId="0" borderId="0" xfId="0" applyFont="1" applyAlignment="1" applyProtection="1">
      <alignment horizontal="center" vertical="center"/>
      <protection hidden="1"/>
    </xf>
    <xf numFmtId="1" fontId="59" fillId="50" borderId="152" xfId="1371" applyNumberFormat="1" applyFont="1" applyFill="1" applyBorder="1" applyAlignment="1" applyProtection="1">
      <alignment horizontal="center" vertical="center" wrapText="1"/>
      <protection locked="0" hidden="1"/>
    </xf>
    <xf numFmtId="49" fontId="59" fillId="50" borderId="152" xfId="1371" applyNumberFormat="1" applyFont="1" applyFill="1" applyBorder="1" applyAlignment="1" applyProtection="1">
      <alignment horizontal="center" vertical="center" wrapText="1"/>
      <protection locked="0" hidden="1"/>
    </xf>
    <xf numFmtId="0" fontId="50" fillId="0" borderId="13" xfId="1371" applyFont="1" applyBorder="1" applyAlignment="1" applyProtection="1">
      <alignment horizontal="center" vertical="center"/>
      <protection hidden="1"/>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0" fontId="59"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wrapText="1"/>
      <protection hidden="1"/>
    </xf>
    <xf numFmtId="0" fontId="50" fillId="0" borderId="18" xfId="1371" applyFont="1" applyBorder="1" applyAlignment="1" applyProtection="1">
      <alignment horizontal="center" vertical="center" wrapText="1"/>
      <protection hidden="1"/>
    </xf>
    <xf numFmtId="0" fontId="83" fillId="65" borderId="152" xfId="0" applyFont="1" applyFill="1" applyBorder="1" applyAlignment="1">
      <alignment horizontal="center" vertical="center" wrapText="1"/>
    </xf>
    <xf numFmtId="0" fontId="84" fillId="65" borderId="152" xfId="0" applyFont="1" applyFill="1" applyBorder="1" applyAlignment="1">
      <alignment horizontal="center" vertical="center" wrapText="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165" fontId="9" fillId="0" borderId="126" xfId="1250" applyFont="1" applyFill="1" applyBorder="1" applyAlignment="1">
      <alignment horizontal="center" vertical="center"/>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83" fillId="50" borderId="152" xfId="0" applyFont="1" applyFill="1" applyBorder="1" applyAlignment="1">
      <alignment horizontal="center" vertical="center" wrapText="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61"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0" fontId="15" fillId="61" borderId="152" xfId="1371" applyFont="1" applyFill="1" applyBorder="1" applyAlignment="1" applyProtection="1">
      <alignment vertical="center" wrapText="1"/>
      <protection hidden="1"/>
    </xf>
    <xf numFmtId="2" fontId="5" fillId="0" borderId="126" xfId="1496" applyNumberFormat="1" applyFont="1" applyFill="1" applyBorder="1" applyAlignment="1" applyProtection="1">
      <alignment horizontal="center" vertical="center" wrapText="1"/>
      <protection hidden="1"/>
    </xf>
    <xf numFmtId="2" fontId="5" fillId="0" borderId="162" xfId="1496" applyNumberFormat="1" applyFont="1" applyFill="1" applyBorder="1" applyAlignment="1" applyProtection="1">
      <alignment horizontal="center" vertical="center" wrapText="1"/>
      <protection hidden="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9" fontId="70" fillId="0" borderId="152" xfId="0" applyNumberFormat="1" applyFont="1" applyBorder="1" applyProtection="1">
      <protection hidden="1"/>
    </xf>
    <xf numFmtId="9" fontId="70" fillId="0" borderId="152" xfId="1495" applyFont="1" applyBorder="1" applyProtection="1">
      <protection hidden="1"/>
    </xf>
    <xf numFmtId="14" fontId="12" fillId="0" borderId="152" xfId="1371" applyNumberFormat="1" applyFont="1" applyBorder="1" applyAlignment="1" applyProtection="1">
      <alignment horizontal="center" vertical="center" wrapText="1"/>
      <protection locked="0" hidden="1"/>
    </xf>
    <xf numFmtId="178" fontId="5" fillId="0" borderId="126" xfId="1496" applyNumberFormat="1" applyFont="1" applyFill="1" applyBorder="1" applyAlignment="1" applyProtection="1">
      <alignment horizontal="center" vertical="center" wrapText="1"/>
      <protection hidden="1"/>
    </xf>
    <xf numFmtId="178" fontId="9" fillId="0" borderId="126" xfId="1495" applyNumberFormat="1" applyFont="1" applyFill="1" applyBorder="1" applyAlignment="1">
      <alignment horizontal="center" vertical="center"/>
    </xf>
    <xf numFmtId="9" fontId="9" fillId="50" borderId="156" xfId="1495" applyFont="1" applyFill="1" applyBorder="1" applyAlignment="1" applyProtection="1">
      <alignment vertical="center" wrapText="1"/>
      <protection locked="0" hidden="1"/>
    </xf>
    <xf numFmtId="177" fontId="5" fillId="24" borderId="126" xfId="1496" applyNumberFormat="1" applyFont="1" applyFill="1" applyBorder="1" applyAlignment="1" applyProtection="1">
      <alignment horizontal="center" vertical="center" wrapText="1"/>
      <protection hidden="1"/>
    </xf>
    <xf numFmtId="177" fontId="5" fillId="24" borderId="162" xfId="1496" applyNumberFormat="1" applyFont="1" applyFill="1" applyBorder="1" applyAlignment="1" applyProtection="1">
      <alignment horizontal="center" vertical="center" wrapText="1"/>
      <protection hidden="1"/>
    </xf>
    <xf numFmtId="14" fontId="9" fillId="0" borderId="152" xfId="1371" applyNumberFormat="1" applyFont="1" applyBorder="1" applyAlignment="1" applyProtection="1">
      <alignment vertical="center" wrapText="1"/>
      <protection locked="0"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65" fontId="9" fillId="24" borderId="126" xfId="1250" applyFont="1" applyFill="1" applyBorder="1" applyAlignment="1" applyProtection="1">
      <alignment vertical="center" wrapText="1"/>
      <protection hidden="1"/>
    </xf>
    <xf numFmtId="1" fontId="9" fillId="24" borderId="162" xfId="1496" applyNumberFormat="1" applyFont="1" applyFill="1" applyBorder="1" applyAlignment="1" applyProtection="1">
      <alignment vertical="center" wrapText="1"/>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177" fontId="5" fillId="0" borderId="126" xfId="1496" applyNumberFormat="1" applyFont="1" applyFill="1" applyBorder="1" applyAlignment="1" applyProtection="1">
      <alignment horizontal="center" vertical="center" wrapText="1"/>
      <protection hidden="1"/>
    </xf>
    <xf numFmtId="177" fontId="5" fillId="0" borderId="162" xfId="1496" applyNumberFormat="1" applyFont="1" applyFill="1" applyBorder="1" applyAlignment="1" applyProtection="1">
      <alignment vertical="center" wrapText="1"/>
      <protection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77" fontId="5" fillId="0" borderId="162" xfId="1496" applyNumberFormat="1" applyFont="1" applyFill="1" applyBorder="1" applyAlignment="1" applyProtection="1">
      <alignment horizontal="center" vertical="center" wrapText="1"/>
      <protection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1" fontId="63" fillId="26" borderId="152" xfId="1250" applyNumberFormat="1" applyFont="1" applyFill="1" applyBorder="1" applyAlignment="1">
      <alignment horizontal="center" vertical="center"/>
    </xf>
    <xf numFmtId="165" fontId="9" fillId="26" borderId="152" xfId="1250" applyFont="1" applyFill="1" applyBorder="1" applyAlignment="1">
      <alignment horizontal="center" vertical="center"/>
    </xf>
    <xf numFmtId="171" fontId="63" fillId="60" borderId="152" xfId="1250" applyNumberFormat="1" applyFont="1" applyFill="1" applyBorder="1" applyAlignment="1">
      <alignment horizontal="center" vertical="center"/>
    </xf>
    <xf numFmtId="165"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61"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59" fillId="0" borderId="152" xfId="0" applyFont="1" applyBorder="1" applyAlignment="1" applyProtection="1">
      <alignment horizontal="center" vertical="center"/>
      <protection hidden="1"/>
    </xf>
    <xf numFmtId="0" fontId="83" fillId="0" borderId="155" xfId="0" applyFont="1" applyBorder="1" applyAlignment="1">
      <alignment horizontal="justify" vertical="center" wrapText="1"/>
    </xf>
    <xf numFmtId="0" fontId="0" fillId="0" borderId="113" xfId="0" applyBorder="1" applyAlignment="1">
      <alignment horizontal="justify" vertical="center" wrapText="1"/>
    </xf>
    <xf numFmtId="0" fontId="83" fillId="0" borderId="159" xfId="0" applyFont="1" applyBorder="1" applyAlignment="1">
      <alignment horizontal="justify" vertical="center" wrapText="1"/>
    </xf>
    <xf numFmtId="0" fontId="0" fillId="0" borderId="0" xfId="0" applyAlignment="1">
      <alignment horizontal="justify" vertical="center" wrapText="1"/>
    </xf>
    <xf numFmtId="0" fontId="83" fillId="0" borderId="13" xfId="0" applyFont="1" applyBorder="1" applyAlignment="1">
      <alignment horizontal="justify" vertical="center" wrapText="1"/>
    </xf>
    <xf numFmtId="0" fontId="83" fillId="0" borderId="0" xfId="0" applyFont="1" applyAlignment="1">
      <alignment horizontal="justify" vertical="center" wrapText="1"/>
    </xf>
    <xf numFmtId="0" fontId="83" fillId="0" borderId="32" xfId="0" applyFont="1" applyBorder="1" applyAlignment="1">
      <alignment horizontal="justify" vertical="center" wrapText="1"/>
    </xf>
    <xf numFmtId="0" fontId="83" fillId="0" borderId="18" xfId="0" applyFont="1" applyBorder="1" applyAlignment="1">
      <alignment horizontal="justify" vertical="center" wrapText="1"/>
    </xf>
    <xf numFmtId="0" fontId="83" fillId="0" borderId="152" xfId="0" applyFont="1" applyBorder="1" applyAlignment="1">
      <alignment horizontal="center" vertical="center" wrapText="1"/>
    </xf>
    <xf numFmtId="0" fontId="83" fillId="66" borderId="152" xfId="0" applyFont="1" applyFill="1" applyBorder="1" applyAlignment="1">
      <alignment horizontal="center" vertical="center" wrapText="1"/>
    </xf>
    <xf numFmtId="0" fontId="83" fillId="50" borderId="152" xfId="0" applyFont="1" applyFill="1" applyBorder="1" applyAlignment="1">
      <alignment horizontal="center" vertical="center"/>
    </xf>
    <xf numFmtId="0" fontId="12" fillId="65" borderId="152" xfId="0" applyFont="1" applyFill="1" applyBorder="1" applyAlignment="1">
      <alignment horizontal="center" vertical="center" wrapText="1"/>
    </xf>
    <xf numFmtId="0" fontId="71" fillId="0" borderId="152" xfId="0" applyFont="1" applyBorder="1" applyAlignment="1" applyProtection="1">
      <alignment horizontal="center" vertical="center" wrapText="1"/>
      <protection locked="0"/>
    </xf>
    <xf numFmtId="0" fontId="5" fillId="0" borderId="152" xfId="0" applyFont="1" applyBorder="1" applyAlignment="1" applyProtection="1">
      <alignment horizontal="center" vertical="center" wrapText="1"/>
      <protection hidden="1"/>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65" fontId="15" fillId="51" borderId="156" xfId="1250" applyFont="1" applyFill="1" applyBorder="1" applyAlignment="1" applyProtection="1">
      <alignment vertical="center" wrapText="1"/>
      <protection hidden="1"/>
    </xf>
    <xf numFmtId="165" fontId="15" fillId="51" borderId="15" xfId="1250" applyFont="1" applyFill="1" applyBorder="1" applyAlignment="1" applyProtection="1">
      <alignment vertical="center" wrapText="1"/>
      <protection hidden="1"/>
    </xf>
    <xf numFmtId="165" fontId="15" fillId="0" borderId="156" xfId="1250" applyFont="1" applyFill="1" applyBorder="1" applyAlignment="1" applyProtection="1">
      <alignment vertical="center" wrapText="1"/>
      <protection hidden="1"/>
    </xf>
    <xf numFmtId="165" fontId="15" fillId="0"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171" fontId="15" fillId="0" borderId="152" xfId="1250" applyNumberFormat="1" applyFont="1" applyFill="1" applyBorder="1" applyAlignment="1" applyProtection="1">
      <alignment vertical="center" wrapText="1"/>
      <protection hidden="1"/>
    </xf>
    <xf numFmtId="165" fontId="5" fillId="0" borderId="156" xfId="1250" applyFont="1" applyFill="1" applyBorder="1" applyAlignment="1" applyProtection="1">
      <alignment horizontal="center" vertical="center" wrapText="1"/>
      <protection hidden="1"/>
    </xf>
    <xf numFmtId="165" fontId="5" fillId="0" borderId="15" xfId="1250" applyFont="1" applyFill="1" applyBorder="1" applyAlignment="1" applyProtection="1">
      <alignment horizontal="center" vertical="center" wrapText="1"/>
      <protection hidden="1"/>
    </xf>
    <xf numFmtId="170" fontId="5" fillId="0" borderId="152" xfId="0" applyNumberFormat="1" applyFont="1" applyBorder="1" applyAlignment="1" applyProtection="1">
      <alignment horizontal="center"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2" fontId="15" fillId="55" borderId="156" xfId="1251" applyNumberFormat="1" applyFont="1" applyFill="1" applyBorder="1" applyAlignment="1" applyProtection="1">
      <alignment horizontal="center" vertical="center" wrapText="1"/>
      <protection hidden="1"/>
    </xf>
    <xf numFmtId="172" fontId="15" fillId="55" borderId="15" xfId="1251" applyNumberFormat="1"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61" xfId="0" applyFont="1" applyFill="1" applyBorder="1" applyAlignment="1" applyProtection="1">
      <alignment horizontal="center" vertical="center" wrapText="1"/>
      <protection locked="0"/>
    </xf>
    <xf numFmtId="171" fontId="15" fillId="50" borderId="156" xfId="1250" applyNumberFormat="1" applyFont="1" applyFill="1" applyBorder="1" applyAlignment="1" applyProtection="1">
      <alignment vertical="center" wrapText="1"/>
      <protection hidden="1"/>
    </xf>
    <xf numFmtId="171" fontId="15" fillId="50" borderId="15" xfId="1250" applyNumberFormat="1" applyFont="1" applyFill="1" applyBorder="1" applyAlignment="1" applyProtection="1">
      <alignment vertical="center" wrapText="1"/>
      <protection hidden="1"/>
    </xf>
    <xf numFmtId="171" fontId="15" fillId="51" borderId="156" xfId="1250" applyNumberFormat="1" applyFont="1" applyFill="1" applyBorder="1" applyAlignment="1" applyProtection="1">
      <alignment vertical="center" wrapText="1"/>
      <protection hidden="1"/>
    </xf>
    <xf numFmtId="171" fontId="15" fillId="51" borderId="15" xfId="1250" applyNumberFormat="1" applyFont="1" applyFill="1" applyBorder="1" applyAlignment="1" applyProtection="1">
      <alignment vertical="center" wrapText="1"/>
      <protection hidden="1"/>
    </xf>
    <xf numFmtId="171" fontId="15" fillId="0" borderId="156" xfId="1250" applyNumberFormat="1" applyFont="1" applyFill="1" applyBorder="1" applyAlignment="1" applyProtection="1">
      <alignment vertical="center" wrapText="1"/>
      <protection hidden="1"/>
    </xf>
    <xf numFmtId="171" fontId="15" fillId="0"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60"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0" fontId="15" fillId="0" borderId="152" xfId="0" applyFont="1" applyBorder="1" applyAlignment="1" applyProtection="1">
      <alignment horizontal="center" vertical="center" wrapText="1"/>
      <protection hidden="1"/>
    </xf>
    <xf numFmtId="0" fontId="3" fillId="62" borderId="155" xfId="0" applyFont="1" applyFill="1" applyBorder="1" applyAlignment="1" applyProtection="1">
      <alignment horizontal="center" vertical="center" wrapText="1"/>
      <protection locked="0"/>
    </xf>
    <xf numFmtId="0" fontId="3" fillId="62" borderId="159" xfId="0" applyFont="1" applyFill="1" applyBorder="1" applyAlignment="1" applyProtection="1">
      <alignment horizontal="center" vertical="center" wrapText="1"/>
      <protection locked="0"/>
    </xf>
    <xf numFmtId="0" fontId="3" fillId="62" borderId="160" xfId="0" applyFont="1" applyFill="1" applyBorder="1" applyAlignment="1" applyProtection="1">
      <alignment horizontal="center" vertical="center" wrapText="1"/>
      <protection locked="0"/>
    </xf>
    <xf numFmtId="165" fontId="15" fillId="50" borderId="156" xfId="1250" applyFont="1" applyFill="1" applyBorder="1" applyAlignment="1" applyProtection="1">
      <alignment vertical="center" wrapText="1"/>
      <protection hidden="1"/>
    </xf>
    <xf numFmtId="165" fontId="15" fillId="50" borderId="15" xfId="1250" applyFont="1" applyFill="1" applyBorder="1" applyAlignment="1" applyProtection="1">
      <alignment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0" fontId="70" fillId="50" borderId="155" xfId="0" applyNumberFormat="1" applyFont="1" applyFill="1" applyBorder="1" applyAlignment="1" applyProtection="1">
      <alignment horizontal="center" vertical="center" wrapText="1"/>
      <protection hidden="1"/>
    </xf>
    <xf numFmtId="170" fontId="70" fillId="50" borderId="159" xfId="0" applyNumberFormat="1" applyFont="1" applyFill="1" applyBorder="1" applyAlignment="1" applyProtection="1">
      <alignment horizontal="center" vertical="center" wrapText="1"/>
      <protection hidden="1"/>
    </xf>
    <xf numFmtId="170" fontId="70" fillId="50" borderId="17" xfId="0" applyNumberFormat="1" applyFont="1" applyFill="1" applyBorder="1" applyAlignment="1" applyProtection="1">
      <alignment horizontal="center" vertical="center" wrapText="1"/>
      <protection hidden="1"/>
    </xf>
    <xf numFmtId="170" fontId="70" fillId="50" borderId="18" xfId="0" applyNumberFormat="1" applyFont="1" applyFill="1" applyBorder="1" applyAlignment="1" applyProtection="1">
      <alignment horizontal="center" vertical="center" wrapText="1"/>
      <protection hidden="1"/>
    </xf>
    <xf numFmtId="170" fontId="71" fillId="55" borderId="156" xfId="0" applyNumberFormat="1" applyFont="1" applyFill="1" applyBorder="1" applyAlignment="1" applyProtection="1">
      <alignment horizontal="center" vertical="center" wrapText="1"/>
      <protection hidden="1"/>
    </xf>
    <xf numFmtId="170" fontId="71" fillId="55" borderId="15" xfId="0" applyNumberFormat="1" applyFont="1" applyFill="1" applyBorder="1" applyAlignment="1" applyProtection="1">
      <alignment horizontal="center" vertical="center" wrapText="1"/>
      <protection hidden="1"/>
    </xf>
    <xf numFmtId="170" fontId="15" fillId="55" borderId="156" xfId="0" applyNumberFormat="1" applyFont="1" applyFill="1" applyBorder="1" applyAlignment="1" applyProtection="1">
      <alignment horizontal="center" vertical="center" wrapText="1"/>
      <protection hidden="1"/>
    </xf>
    <xf numFmtId="170" fontId="15" fillId="55" borderId="15" xfId="0" applyNumberFormat="1" applyFont="1" applyFill="1" applyBorder="1" applyAlignment="1" applyProtection="1">
      <alignment horizontal="center" vertical="center" wrapText="1"/>
      <protection hidden="1"/>
    </xf>
    <xf numFmtId="170" fontId="5" fillId="50" borderId="155" xfId="0" applyNumberFormat="1" applyFont="1" applyFill="1" applyBorder="1" applyAlignment="1" applyProtection="1">
      <alignment horizontal="center" vertical="center" wrapText="1"/>
      <protection hidden="1"/>
    </xf>
    <xf numFmtId="170" fontId="5" fillId="50" borderId="159" xfId="0" applyNumberFormat="1"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horizontal="center" vertical="center" wrapText="1"/>
      <protection hidden="1"/>
    </xf>
    <xf numFmtId="170" fontId="5" fillId="50" borderId="18" xfId="0" applyNumberFormat="1" applyFont="1" applyFill="1" applyBorder="1" applyAlignment="1" applyProtection="1">
      <alignment horizontal="center" vertical="center" wrapText="1"/>
      <protection hidden="1"/>
    </xf>
    <xf numFmtId="170" fontId="5" fillId="50" borderId="156" xfId="0" applyNumberFormat="1" applyFont="1" applyFill="1" applyBorder="1" applyAlignment="1" applyProtection="1">
      <alignment vertical="center" wrapText="1"/>
      <protection hidden="1"/>
    </xf>
    <xf numFmtId="170" fontId="5" fillId="50" borderId="15" xfId="0" applyNumberFormat="1" applyFont="1" applyFill="1" applyBorder="1" applyAlignment="1" applyProtection="1">
      <alignment vertical="center" wrapText="1"/>
      <protection hidden="1"/>
    </xf>
    <xf numFmtId="0" fontId="5" fillId="50" borderId="152" xfId="0" applyFont="1" applyFill="1" applyBorder="1" applyAlignment="1" applyProtection="1">
      <alignment horizontal="center" vertical="center" wrapText="1"/>
      <protection hidden="1"/>
    </xf>
    <xf numFmtId="170" fontId="5" fillId="51" borderId="156" xfId="0" applyNumberFormat="1" applyFont="1" applyFill="1" applyBorder="1" applyAlignment="1" applyProtection="1">
      <alignment vertical="center" wrapText="1"/>
      <protection hidden="1"/>
    </xf>
    <xf numFmtId="170" fontId="5" fillId="51" borderId="15" xfId="0" applyNumberFormat="1" applyFont="1" applyFill="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59"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59"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0" fontId="15" fillId="50" borderId="156" xfId="0" applyNumberFormat="1" applyFont="1" applyFill="1" applyBorder="1" applyAlignment="1" applyProtection="1">
      <alignment vertical="center" wrapText="1"/>
      <protection hidden="1"/>
    </xf>
    <xf numFmtId="170" fontId="15" fillId="50" borderId="15" xfId="0" applyNumberFormat="1" applyFont="1" applyFill="1" applyBorder="1" applyAlignment="1" applyProtection="1">
      <alignment vertical="center" wrapText="1"/>
      <protection hidden="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59" xfId="1371" applyFont="1" applyBorder="1" applyAlignment="1">
      <alignment horizontal="center" vertical="center"/>
    </xf>
    <xf numFmtId="0" fontId="57" fillId="0" borderId="163"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2"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61" xfId="1371" applyFont="1" applyFill="1" applyBorder="1" applyAlignment="1">
      <alignment horizontal="center" vertical="center" wrapText="1"/>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9" fillId="50" borderId="162" xfId="1371"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3" xfId="1371" applyFont="1" applyFill="1" applyBorder="1" applyAlignment="1">
      <alignment horizontal="center"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50" fillId="0" borderId="158" xfId="1371" applyFont="1" applyBorder="1" applyAlignment="1">
      <alignment horizontal="center" vertical="center"/>
    </xf>
    <xf numFmtId="0" fontId="50" fillId="0" borderId="159" xfId="1371" applyFont="1" applyBorder="1" applyAlignment="1">
      <alignment horizontal="center" vertical="center"/>
    </xf>
    <xf numFmtId="0" fontId="50" fillId="0" borderId="163"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61" xfId="1371" applyFont="1" applyFill="1" applyBorder="1" applyAlignment="1">
      <alignment horizontal="justify"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61" xfId="1371" applyNumberFormat="1" applyFont="1" applyFill="1" applyBorder="1" applyAlignment="1">
      <alignment horizontal="center" vertical="center" wrapText="1"/>
    </xf>
    <xf numFmtId="170" fontId="9" fillId="0" borderId="126" xfId="1496" applyNumberFormat="1" applyFont="1" applyFill="1" applyBorder="1" applyAlignment="1">
      <alignment horizontal="center" vertical="center" wrapText="1"/>
    </xf>
    <xf numFmtId="170" fontId="9" fillId="0" borderId="127" xfId="1496" applyNumberFormat="1" applyFont="1" applyFill="1" applyBorder="1" applyAlignment="1">
      <alignment horizontal="center" vertical="center" wrapText="1"/>
    </xf>
    <xf numFmtId="170" fontId="9" fillId="0" borderId="162" xfId="1496" applyNumberFormat="1" applyFont="1" applyFill="1" applyBorder="1" applyAlignment="1">
      <alignment horizontal="center" vertical="center" wrapText="1"/>
    </xf>
    <xf numFmtId="0" fontId="9" fillId="24" borderId="161"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2"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59" xfId="1371" applyFont="1" applyFill="1" applyBorder="1" applyAlignment="1">
      <alignment horizontal="center" vertical="center"/>
    </xf>
    <xf numFmtId="0" fontId="9" fillId="50" borderId="160" xfId="1371" applyFont="1" applyFill="1" applyBorder="1" applyAlignment="1">
      <alignment horizontal="center" vertical="center"/>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2" xfId="1371" applyFont="1" applyFill="1" applyBorder="1" applyAlignment="1" applyProtection="1">
      <alignment horizontal="center"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2" xfId="0" applyFont="1" applyFill="1" applyBorder="1" applyAlignment="1">
      <alignment horizontal="center" vertical="center" wrapText="1"/>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60"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59" xfId="1371" applyFont="1" applyFill="1" applyBorder="1" applyAlignment="1" applyProtection="1">
      <alignment horizontal="center" vertical="center" wrapText="1"/>
      <protection locked="0"/>
    </xf>
    <xf numFmtId="0" fontId="9" fillId="24" borderId="163"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49" fillId="53" borderId="126" xfId="0" applyFont="1" applyFill="1" applyBorder="1" applyAlignment="1">
      <alignment horizontal="center" vertical="center" wrapText="1"/>
    </xf>
    <xf numFmtId="0" fontId="49" fillId="53" borderId="161"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61"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61" xfId="0" applyFont="1" applyFill="1" applyBorder="1" applyAlignment="1">
      <alignment horizontal="center" vertical="center"/>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57"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5" fillId="0" borderId="152" xfId="0" applyFont="1" applyBorder="1" applyAlignment="1" applyProtection="1">
      <alignment horizontal="center" vertical="center" wrapText="1"/>
      <protection locked="0" hidden="1"/>
    </xf>
    <xf numFmtId="0" fontId="75" fillId="0" borderId="50" xfId="0" applyFont="1" applyBorder="1" applyAlignment="1" applyProtection="1">
      <alignment horizontal="center" vertical="center" wrapText="1"/>
      <protection locked="0"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14" fontId="5" fillId="0" borderId="126" xfId="1371" applyNumberFormat="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1" xfId="1371" applyFont="1" applyBorder="1" applyAlignment="1" applyProtection="1">
      <alignment horizontal="center" vertical="center" wrapText="1"/>
      <protection hidden="1"/>
    </xf>
    <xf numFmtId="175" fontId="5" fillId="0" borderId="126" xfId="1496" applyNumberFormat="1" applyFont="1" applyFill="1" applyBorder="1" applyAlignment="1" applyProtection="1">
      <alignment horizontal="center" vertical="center" wrapText="1"/>
      <protection hidden="1"/>
    </xf>
    <xf numFmtId="175" fontId="5" fillId="0" borderId="127" xfId="1496" applyNumberFormat="1" applyFont="1" applyFill="1" applyBorder="1" applyAlignment="1" applyProtection="1">
      <alignment horizontal="center" vertical="center" wrapText="1"/>
      <protection hidden="1"/>
    </xf>
    <xf numFmtId="175" fontId="5" fillId="0" borderId="162" xfId="1496" applyNumberFormat="1" applyFont="1" applyFill="1" applyBorder="1" applyAlignment="1" applyProtection="1">
      <alignment horizontal="center" vertical="center" wrapText="1"/>
      <protection hidden="1"/>
    </xf>
    <xf numFmtId="0" fontId="76" fillId="0" borderId="152" xfId="1371" applyFont="1" applyBorder="1" applyAlignment="1" applyProtection="1">
      <alignment horizontal="center" vertical="center"/>
      <protection hidden="1"/>
    </xf>
    <xf numFmtId="0" fontId="76"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61"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61" xfId="1371" applyFont="1" applyBorder="1" applyAlignment="1" applyProtection="1">
      <alignment horizontal="justify" vertical="center" wrapText="1"/>
      <protection hidden="1"/>
    </xf>
    <xf numFmtId="0" fontId="5" fillId="0" borderId="126" xfId="1371" applyFont="1" applyBorder="1" applyAlignment="1" applyProtection="1">
      <alignment horizontal="center" vertical="center" wrapText="1"/>
      <protection hidden="1"/>
    </xf>
    <xf numFmtId="0" fontId="5" fillId="0" borderId="162" xfId="1371" applyFont="1" applyBorder="1" applyAlignment="1" applyProtection="1">
      <alignment horizontal="center"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61" xfId="1371" applyNumberFormat="1" applyFont="1" applyBorder="1" applyAlignment="1" applyProtection="1">
      <alignment horizontal="center" vertical="center" wrapText="1"/>
      <protection hidden="1"/>
    </xf>
    <xf numFmtId="0" fontId="5" fillId="0" borderId="155"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0" borderId="160" xfId="1371" applyFont="1" applyBorder="1" applyAlignment="1" applyProtection="1">
      <alignment horizontal="center" vertical="center"/>
      <protection hidden="1"/>
    </xf>
    <xf numFmtId="0" fontId="59" fillId="50" borderId="126" xfId="1371" applyFont="1" applyFill="1" applyBorder="1" applyAlignment="1" applyProtection="1">
      <alignment horizontal="left" vertical="center" wrapText="1"/>
      <protection locked="0" hidden="1"/>
    </xf>
    <xf numFmtId="0" fontId="59" fillId="50" borderId="127" xfId="1371" applyFont="1" applyFill="1" applyBorder="1" applyAlignment="1" applyProtection="1">
      <alignment horizontal="left" vertical="center" wrapText="1"/>
      <protection locked="0" hidden="1"/>
    </xf>
    <xf numFmtId="0" fontId="59" fillId="50" borderId="162" xfId="1371" applyFont="1" applyFill="1" applyBorder="1" applyAlignment="1" applyProtection="1">
      <alignment horizontal="left" vertical="center" wrapText="1"/>
      <protection locked="0" hidden="1"/>
    </xf>
    <xf numFmtId="0" fontId="50" fillId="0" borderId="158" xfId="1371" applyFont="1" applyBorder="1" applyAlignment="1" applyProtection="1">
      <alignment horizontal="center" vertical="center"/>
      <protection hidden="1"/>
    </xf>
    <xf numFmtId="0" fontId="50" fillId="0" borderId="159" xfId="1371" applyFont="1" applyBorder="1" applyAlignment="1" applyProtection="1">
      <alignment horizontal="center" vertical="center"/>
      <protection hidden="1"/>
    </xf>
    <xf numFmtId="0" fontId="50" fillId="0" borderId="163"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165" fontId="5" fillId="50" borderId="156" xfId="1250" applyFont="1" applyFill="1" applyBorder="1" applyAlignment="1" applyProtection="1">
      <alignment horizontal="center" vertical="center" wrapText="1"/>
      <protection locked="0" hidden="1"/>
    </xf>
    <xf numFmtId="165" fontId="5" fillId="50" borderId="23" xfId="1250" applyFont="1" applyFill="1" applyBorder="1" applyAlignment="1" applyProtection="1">
      <alignment horizontal="center" vertical="center" wrapText="1"/>
      <protection locked="0" hidden="1"/>
    </xf>
    <xf numFmtId="165" fontId="5" fillId="50" borderId="15" xfId="1250" applyFont="1" applyFill="1" applyBorder="1" applyAlignment="1" applyProtection="1">
      <alignment horizontal="center" vertical="center" wrapText="1"/>
      <protection locked="0" hidden="1"/>
    </xf>
    <xf numFmtId="0" fontId="70" fillId="50" borderId="126" xfId="1371" applyFont="1" applyFill="1" applyBorder="1" applyAlignment="1" applyProtection="1">
      <alignment horizontal="justify" vertical="center" wrapText="1"/>
      <protection locked="0" hidden="1"/>
    </xf>
    <xf numFmtId="0" fontId="70" fillId="50" borderId="127" xfId="1371" applyFont="1" applyFill="1" applyBorder="1" applyAlignment="1" applyProtection="1">
      <alignment horizontal="justify" vertical="center" wrapText="1"/>
      <protection locked="0" hidden="1"/>
    </xf>
    <xf numFmtId="0" fontId="70" fillId="50" borderId="162" xfId="1371" applyFont="1" applyFill="1" applyBorder="1" applyAlignment="1" applyProtection="1">
      <alignment horizontal="justify" vertical="center" wrapText="1"/>
      <protection locked="0" hidden="1"/>
    </xf>
    <xf numFmtId="0" fontId="12" fillId="0" borderId="152" xfId="1371" applyFont="1" applyBorder="1" applyAlignment="1" applyProtection="1">
      <alignment horizontal="center" vertical="center" wrapText="1"/>
      <protection locked="0" hidden="1"/>
    </xf>
    <xf numFmtId="0" fontId="12" fillId="0" borderId="153" xfId="1371" applyFont="1" applyBorder="1" applyAlignment="1" applyProtection="1">
      <alignment horizontal="center" vertical="center" wrapText="1"/>
      <protection locked="0" hidden="1"/>
    </xf>
    <xf numFmtId="0" fontId="12" fillId="0" borderId="50" xfId="1371" applyFont="1" applyBorder="1" applyAlignment="1" applyProtection="1">
      <alignment horizontal="center" vertical="center" wrapText="1"/>
      <protection locked="0" hidden="1"/>
    </xf>
    <xf numFmtId="0" fontId="12" fillId="0" borderId="51" xfId="1371" applyFont="1" applyBorder="1" applyAlignment="1" applyProtection="1">
      <alignment horizontal="center" vertical="center" wrapText="1"/>
      <protection locked="0"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5" fillId="50" borderId="126" xfId="1371" applyFont="1" applyFill="1" applyBorder="1" applyAlignment="1" applyProtection="1">
      <alignment horizontal="justify" vertical="center" wrapText="1"/>
      <protection locked="0" hidden="1"/>
    </xf>
    <xf numFmtId="0" fontId="5" fillId="50" borderId="127" xfId="1371" applyFont="1" applyFill="1" applyBorder="1" applyAlignment="1" applyProtection="1">
      <alignment horizontal="justify" vertical="center" wrapText="1"/>
      <protection locked="0" hidden="1"/>
    </xf>
    <xf numFmtId="0" fontId="5" fillId="50" borderId="162" xfId="1371" applyFont="1" applyFill="1" applyBorder="1" applyAlignment="1" applyProtection="1">
      <alignment horizontal="justify" vertical="center" wrapText="1"/>
      <protection locked="0" hidden="1"/>
    </xf>
    <xf numFmtId="0" fontId="75" fillId="0" borderId="20" xfId="0" applyFont="1" applyBorder="1" applyAlignment="1" applyProtection="1">
      <alignment horizontal="center" vertical="center" wrapText="1"/>
      <protection locked="0" hidden="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61"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2" xfId="1496" applyNumberFormat="1" applyFont="1" applyFill="1" applyBorder="1" applyAlignment="1" applyProtection="1">
      <alignment horizontal="center" vertical="center" wrapText="1"/>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61"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2"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61" xfId="1371" applyNumberFormat="1" applyFont="1" applyFill="1" applyBorder="1" applyAlignment="1" applyProtection="1">
      <alignment horizontal="center" vertical="center" wrapText="1"/>
      <protection hidden="1"/>
    </xf>
    <xf numFmtId="0" fontId="5" fillId="50" borderId="155" xfId="1371" applyFont="1" applyFill="1" applyBorder="1" applyAlignment="1" applyProtection="1">
      <alignment horizontal="center" vertical="center"/>
      <protection hidden="1"/>
    </xf>
    <xf numFmtId="0" fontId="5" fillId="50" borderId="159"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165" fontId="9" fillId="50" borderId="156" xfId="1250" applyFont="1" applyFill="1" applyBorder="1" applyAlignment="1" applyProtection="1">
      <alignment horizontal="center" vertical="center" wrapText="1"/>
      <protection locked="0" hidden="1"/>
    </xf>
    <xf numFmtId="165" fontId="9" fillId="50" borderId="23" xfId="1250" applyFont="1" applyFill="1" applyBorder="1" applyAlignment="1" applyProtection="1">
      <alignment horizontal="center" vertical="center" wrapText="1"/>
      <protection locked="0" hidden="1"/>
    </xf>
    <xf numFmtId="165" fontId="9" fillId="50" borderId="15" xfId="1250" applyFont="1" applyFill="1" applyBorder="1" applyAlignment="1" applyProtection="1">
      <alignment horizontal="center" vertical="center" wrapText="1"/>
      <protection locked="0" hidden="1"/>
    </xf>
    <xf numFmtId="2" fontId="9" fillId="50" borderId="154" xfId="1495" applyNumberFormat="1" applyFont="1" applyFill="1" applyBorder="1" applyAlignment="1" applyProtection="1">
      <alignment horizontal="center" vertical="center" wrapText="1"/>
      <protection locked="0" hidden="1"/>
    </xf>
    <xf numFmtId="2" fontId="9" fillId="50" borderId="47" xfId="1495" applyNumberFormat="1" applyFont="1" applyFill="1" applyBorder="1" applyAlignment="1" applyProtection="1">
      <alignment horizontal="center" vertical="center" wrapText="1"/>
      <protection locked="0" hidden="1"/>
    </xf>
    <xf numFmtId="2" fontId="9" fillId="50" borderId="48" xfId="1495" applyNumberFormat="1" applyFont="1" applyFill="1" applyBorder="1" applyAlignment="1" applyProtection="1">
      <alignment horizontal="center" vertical="center" wrapText="1"/>
      <protection locked="0" hidden="1"/>
    </xf>
    <xf numFmtId="0" fontId="70" fillId="0" borderId="126" xfId="1371" applyFont="1" applyBorder="1" applyAlignment="1" applyProtection="1">
      <alignment horizontal="justify" vertical="center" wrapText="1"/>
      <protection locked="0" hidden="1"/>
    </xf>
    <xf numFmtId="0" fontId="70" fillId="0" borderId="127" xfId="1371" applyFont="1" applyBorder="1" applyAlignment="1" applyProtection="1">
      <alignment horizontal="justify" vertical="center" wrapText="1"/>
      <protection locked="0" hidden="1"/>
    </xf>
    <xf numFmtId="0" fontId="70" fillId="0" borderId="162" xfId="1371" applyFont="1" applyBorder="1" applyAlignment="1" applyProtection="1">
      <alignment horizontal="justify" vertical="center" wrapText="1"/>
      <protection locked="0" hidden="1"/>
    </xf>
    <xf numFmtId="0" fontId="70" fillId="50" borderId="126" xfId="1371" applyFont="1" applyFill="1" applyBorder="1" applyAlignment="1" applyProtection="1">
      <alignment horizontal="center" vertical="center" wrapText="1"/>
      <protection locked="0" hidden="1"/>
    </xf>
    <xf numFmtId="0" fontId="70" fillId="50" borderId="127" xfId="1371" applyFont="1" applyFill="1" applyBorder="1" applyAlignment="1" applyProtection="1">
      <alignment horizontal="center" vertical="center" wrapText="1"/>
      <protection locked="0" hidden="1"/>
    </xf>
    <xf numFmtId="0" fontId="70" fillId="50" borderId="162" xfId="1371" applyFont="1" applyFill="1" applyBorder="1" applyAlignment="1" applyProtection="1">
      <alignment horizontal="center" vertical="center" wrapText="1"/>
      <protection locked="0" hidden="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2" fillId="65" borderId="155" xfId="0" applyFont="1" applyFill="1" applyBorder="1" applyAlignment="1">
      <alignment horizontal="center" vertical="center" wrapText="1"/>
    </xf>
    <xf numFmtId="0" fontId="82" fillId="65" borderId="159" xfId="0" applyFont="1" applyFill="1" applyBorder="1" applyAlignment="1">
      <alignment horizontal="center" vertical="center" wrapText="1"/>
    </xf>
    <xf numFmtId="0" fontId="82" fillId="65" borderId="160" xfId="0" applyFont="1" applyFill="1" applyBorder="1" applyAlignment="1">
      <alignment horizontal="center" vertical="center" wrapText="1"/>
    </xf>
    <xf numFmtId="0" fontId="82" fillId="65" borderId="113" xfId="0" applyFont="1" applyFill="1" applyBorder="1" applyAlignment="1">
      <alignment horizontal="center" vertical="center" wrapText="1"/>
    </xf>
    <xf numFmtId="0" fontId="82" fillId="65" borderId="0" xfId="0" applyFont="1" applyFill="1" applyAlignment="1">
      <alignment horizontal="center" vertical="center" wrapText="1"/>
    </xf>
    <xf numFmtId="0" fontId="82" fillId="65" borderId="16" xfId="0" applyFont="1" applyFill="1" applyBorder="1" applyAlignment="1">
      <alignment horizontal="center" vertical="center" wrapText="1"/>
    </xf>
    <xf numFmtId="0" fontId="82" fillId="65" borderId="17" xfId="0" applyFont="1" applyFill="1" applyBorder="1" applyAlignment="1">
      <alignment horizontal="center" vertical="center" wrapText="1"/>
    </xf>
    <xf numFmtId="0" fontId="82" fillId="65" borderId="18" xfId="0" applyFont="1" applyFill="1" applyBorder="1" applyAlignment="1">
      <alignment horizontal="center" vertical="center" wrapText="1"/>
    </xf>
    <xf numFmtId="0" fontId="82" fillId="65" borderId="19" xfId="0" applyFont="1" applyFill="1" applyBorder="1" applyAlignment="1">
      <alignment horizontal="center" vertical="center" wrapText="1"/>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9" fillId="0" borderId="78" xfId="1371" applyFont="1" applyBorder="1" applyAlignment="1" applyProtection="1">
      <alignment horizontal="center" vertical="center" wrapText="1"/>
      <protection locked="0" hidden="1"/>
    </xf>
    <xf numFmtId="0" fontId="9" fillId="0" borderId="79" xfId="1371" applyFont="1" applyBorder="1" applyAlignment="1" applyProtection="1">
      <alignment horizontal="center" vertical="center" wrapText="1"/>
      <protection locked="0" hidden="1"/>
    </xf>
    <xf numFmtId="0" fontId="9" fillId="0" borderId="80" xfId="1371" applyFont="1" applyBorder="1" applyAlignment="1" applyProtection="1">
      <alignment horizontal="center" vertical="center" wrapText="1"/>
      <protection locked="0" hidden="1"/>
    </xf>
    <xf numFmtId="0" fontId="57" fillId="0" borderId="152" xfId="0" applyFont="1" applyBorder="1" applyAlignment="1" applyProtection="1">
      <alignment horizontal="center" vertical="center" wrapText="1"/>
      <protection locked="0" hidden="1"/>
    </xf>
    <xf numFmtId="9" fontId="5" fillId="0" borderId="152" xfId="1496" applyFont="1" applyFill="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176" fontId="5" fillId="24" borderId="126" xfId="1250" applyNumberFormat="1" applyFont="1" applyFill="1" applyBorder="1" applyAlignment="1" applyProtection="1">
      <alignment horizontal="center" vertical="center" wrapText="1"/>
      <protection hidden="1"/>
    </xf>
    <xf numFmtId="176" fontId="5" fillId="24" borderId="127" xfId="1250" applyNumberFormat="1" applyFont="1" applyFill="1" applyBorder="1" applyAlignment="1" applyProtection="1">
      <alignment horizontal="center" vertical="center" wrapText="1"/>
      <protection hidden="1"/>
    </xf>
    <xf numFmtId="176" fontId="5" fillId="24" borderId="162" xfId="1250" applyNumberFormat="1" applyFont="1" applyFill="1" applyBorder="1" applyAlignment="1" applyProtection="1">
      <alignment horizontal="center" vertical="center" wrapText="1"/>
      <protection hidden="1"/>
    </xf>
    <xf numFmtId="0" fontId="76" fillId="0" borderId="152" xfId="1371" applyFont="1" applyBorder="1" applyAlignment="1" applyProtection="1">
      <alignment horizontal="center" vertical="center" wrapText="1"/>
      <protection hidden="1"/>
    </xf>
    <xf numFmtId="0" fontId="76" fillId="0" borderId="153" xfId="1371" applyFont="1" applyBorder="1" applyAlignment="1" applyProtection="1">
      <alignment horizontal="center" vertical="center" wrapText="1"/>
      <protection hidden="1"/>
    </xf>
    <xf numFmtId="0" fontId="12" fillId="0" borderId="152" xfId="1371" applyFont="1" applyBorder="1" applyAlignment="1" applyProtection="1">
      <alignment horizontal="center" vertical="center" wrapText="1"/>
      <protection locked="0"/>
    </xf>
    <xf numFmtId="0" fontId="12" fillId="0" borderId="153" xfId="1371" applyFont="1" applyBorder="1" applyAlignment="1" applyProtection="1">
      <alignment horizontal="center" vertical="center" wrapText="1"/>
      <protection locked="0"/>
    </xf>
    <xf numFmtId="0" fontId="12" fillId="0" borderId="126" xfId="1371" applyFont="1" applyBorder="1" applyAlignment="1" applyProtection="1">
      <alignment horizontal="center" vertical="center" wrapText="1"/>
      <protection locked="0"/>
    </xf>
    <xf numFmtId="0" fontId="12" fillId="0" borderId="127" xfId="1371" applyFont="1" applyBorder="1" applyAlignment="1" applyProtection="1">
      <alignment horizontal="center" vertical="center" wrapText="1"/>
      <protection locked="0"/>
    </xf>
    <xf numFmtId="0" fontId="12" fillId="0" borderId="162" xfId="1371" applyFont="1" applyBorder="1" applyAlignment="1" applyProtection="1">
      <alignment horizontal="center" vertical="center" wrapText="1"/>
      <protection locked="0"/>
    </xf>
    <xf numFmtId="0" fontId="12" fillId="0" borderId="161" xfId="1371" applyFont="1" applyBorder="1" applyAlignment="1" applyProtection="1">
      <alignment horizontal="center" vertical="center" wrapText="1"/>
      <protection locked="0"/>
    </xf>
    <xf numFmtId="0" fontId="5" fillId="50" borderId="155"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0" fontId="59" fillId="50" borderId="126" xfId="1371" applyFont="1" applyFill="1" applyBorder="1" applyAlignment="1" applyProtection="1">
      <alignment horizontal="justify" vertical="center" wrapText="1"/>
      <protection locked="0"/>
    </xf>
    <xf numFmtId="0" fontId="59" fillId="50" borderId="127" xfId="1371" applyFont="1" applyFill="1" applyBorder="1" applyAlignment="1" applyProtection="1">
      <alignment horizontal="justify" vertical="center" wrapText="1"/>
      <protection locked="0"/>
    </xf>
    <xf numFmtId="0" fontId="59" fillId="50" borderId="161" xfId="1371" applyFont="1" applyFill="1" applyBorder="1" applyAlignment="1" applyProtection="1">
      <alignment horizontal="justify" vertical="center" wrapText="1"/>
      <protection locked="0"/>
    </xf>
    <xf numFmtId="0" fontId="59" fillId="0" borderId="126" xfId="1371" applyFont="1" applyBorder="1" applyAlignment="1" applyProtection="1">
      <alignment horizontal="justify" vertical="center" wrapText="1"/>
      <protection locked="0"/>
    </xf>
    <xf numFmtId="0" fontId="59" fillId="0" borderId="127" xfId="1371" applyFont="1" applyBorder="1" applyAlignment="1" applyProtection="1">
      <alignment horizontal="justify" vertical="center" wrapText="1"/>
      <protection locked="0"/>
    </xf>
    <xf numFmtId="0" fontId="59" fillId="0" borderId="161" xfId="1371" applyFont="1" applyBorder="1" applyAlignment="1" applyProtection="1">
      <alignment horizontal="justify" vertical="center" wrapText="1"/>
      <protection locked="0"/>
    </xf>
    <xf numFmtId="0" fontId="51" fillId="0" borderId="126" xfId="1371" applyFont="1" applyBorder="1" applyAlignment="1" applyProtection="1">
      <alignment horizontal="justify" vertical="center" wrapText="1"/>
      <protection locked="0"/>
    </xf>
    <xf numFmtId="0" fontId="51" fillId="0" borderId="127" xfId="1371" applyFont="1" applyBorder="1" applyAlignment="1" applyProtection="1">
      <alignment horizontal="justify" vertical="center" wrapText="1"/>
      <protection locked="0"/>
    </xf>
    <xf numFmtId="0" fontId="51" fillId="0" borderId="161" xfId="1371" applyFont="1" applyBorder="1" applyAlignment="1" applyProtection="1">
      <alignment horizontal="justify" vertical="center" wrapText="1"/>
      <protection locked="0"/>
    </xf>
    <xf numFmtId="0" fontId="9" fillId="0" borderId="126" xfId="1371" applyFont="1" applyBorder="1" applyAlignment="1" applyProtection="1">
      <alignment horizontal="justify" vertical="center" wrapText="1"/>
      <protection locked="0"/>
    </xf>
    <xf numFmtId="0" fontId="9" fillId="0" borderId="127"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14" fontId="9" fillId="0" borderId="126" xfId="1371" applyNumberFormat="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61" xfId="1371" applyFont="1" applyBorder="1" applyAlignment="1" applyProtection="1">
      <alignment horizontal="center" vertical="center" wrapText="1"/>
      <protection hidden="1"/>
    </xf>
    <xf numFmtId="9" fontId="9" fillId="24" borderId="126" xfId="1495" applyFont="1" applyFill="1" applyBorder="1" applyAlignment="1" applyProtection="1">
      <alignment horizontal="center" vertical="center" wrapText="1"/>
      <protection hidden="1"/>
    </xf>
    <xf numFmtId="9" fontId="9" fillId="24" borderId="127" xfId="1495" applyFont="1" applyFill="1" applyBorder="1" applyAlignment="1" applyProtection="1">
      <alignment horizontal="center" vertical="center" wrapText="1"/>
      <protection hidden="1"/>
    </xf>
    <xf numFmtId="9" fontId="9" fillId="24" borderId="162" xfId="1495" applyFont="1" applyFill="1" applyBorder="1" applyAlignment="1" applyProtection="1">
      <alignment horizontal="center" vertical="center" wrapText="1"/>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61" xfId="1371" applyFont="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61" xfId="1371" applyFont="1" applyBorder="1" applyAlignment="1" applyProtection="1">
      <alignment horizontal="justify" vertical="center" wrapText="1"/>
      <protection hidden="1"/>
    </xf>
    <xf numFmtId="0" fontId="9" fillId="0" borderId="126" xfId="1371" applyFont="1" applyBorder="1" applyAlignment="1" applyProtection="1">
      <alignment horizontal="center" vertical="center" wrapText="1"/>
      <protection hidden="1"/>
    </xf>
    <xf numFmtId="0" fontId="9" fillId="0" borderId="162" xfId="1371" applyFont="1" applyBorder="1" applyAlignment="1" applyProtection="1">
      <alignment horizontal="center"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61" xfId="1371" applyNumberFormat="1" applyFont="1" applyBorder="1" applyAlignment="1" applyProtection="1">
      <alignment horizontal="center" vertical="center" wrapText="1"/>
      <protection hidden="1"/>
    </xf>
    <xf numFmtId="0" fontId="9" fillId="50" borderId="155" xfId="1371" applyFont="1" applyFill="1" applyBorder="1" applyAlignment="1" applyProtection="1">
      <alignment horizontal="center" vertical="center"/>
      <protection hidden="1"/>
    </xf>
    <xf numFmtId="0" fontId="9" fillId="50" borderId="159" xfId="1371" applyFont="1" applyFill="1" applyBorder="1" applyAlignment="1" applyProtection="1">
      <alignment horizontal="center" vertical="center"/>
      <protection hidden="1"/>
    </xf>
    <xf numFmtId="0" fontId="9" fillId="50" borderId="160" xfId="1371" applyFont="1" applyFill="1" applyBorder="1" applyAlignment="1" applyProtection="1">
      <alignment horizontal="center" vertical="center"/>
      <protection hidden="1"/>
    </xf>
    <xf numFmtId="9" fontId="4" fillId="50" borderId="156" xfId="1495" applyFont="1" applyFill="1" applyBorder="1" applyAlignment="1" applyProtection="1">
      <alignment horizontal="center" vertical="center" wrapText="1"/>
      <protection locked="0" hidden="1"/>
    </xf>
    <xf numFmtId="9" fontId="4" fillId="50" borderId="23" xfId="1495" applyFont="1" applyFill="1" applyBorder="1" applyAlignment="1" applyProtection="1">
      <alignment horizontal="center" vertical="center" wrapText="1"/>
      <protection locked="0" hidden="1"/>
    </xf>
    <xf numFmtId="9" fontId="4" fillId="50" borderId="15" xfId="1495" applyFont="1" applyFill="1" applyBorder="1" applyAlignment="1" applyProtection="1">
      <alignment horizontal="center" vertical="center" wrapText="1"/>
      <protection locked="0" hidden="1"/>
    </xf>
    <xf numFmtId="165" fontId="4" fillId="50" borderId="154" xfId="1250" applyFont="1" applyFill="1" applyBorder="1" applyAlignment="1" applyProtection="1">
      <alignment horizontal="center" vertical="center" wrapText="1"/>
      <protection locked="0" hidden="1"/>
    </xf>
    <xf numFmtId="165" fontId="4" fillId="50" borderId="47" xfId="1250" applyFont="1" applyFill="1" applyBorder="1" applyAlignment="1" applyProtection="1">
      <alignment horizontal="center" vertical="center" wrapText="1"/>
      <protection locked="0" hidden="1"/>
    </xf>
    <xf numFmtId="165" fontId="4" fillId="50" borderId="48" xfId="1250" applyFont="1" applyFill="1" applyBorder="1" applyAlignment="1" applyProtection="1">
      <alignment horizontal="center" vertical="center" wrapText="1"/>
      <protection locked="0" hidden="1"/>
    </xf>
    <xf numFmtId="0" fontId="9" fillId="0" borderId="126" xfId="1371" applyFont="1" applyBorder="1" applyAlignment="1" applyProtection="1">
      <alignment horizontal="center" vertical="center" wrapText="1"/>
      <protection locked="0" hidden="1"/>
    </xf>
    <xf numFmtId="0" fontId="9" fillId="0" borderId="127" xfId="1371" applyFont="1" applyBorder="1" applyAlignment="1" applyProtection="1">
      <alignment horizontal="center" vertical="center" wrapText="1"/>
      <protection locked="0" hidden="1"/>
    </xf>
    <xf numFmtId="0" fontId="9" fillId="0" borderId="162" xfId="1371" applyFont="1" applyBorder="1" applyAlignment="1" applyProtection="1">
      <alignment horizontal="center" vertical="center" wrapText="1"/>
      <protection locked="0" hidden="1"/>
    </xf>
    <xf numFmtId="0" fontId="59" fillId="0" borderId="126" xfId="1371" applyFont="1" applyBorder="1" applyAlignment="1" applyProtection="1">
      <alignment horizontal="center" vertical="center" wrapText="1"/>
      <protection locked="0" hidden="1"/>
    </xf>
    <xf numFmtId="0" fontId="59" fillId="0" borderId="127" xfId="1371" applyFont="1" applyBorder="1" applyAlignment="1" applyProtection="1">
      <alignment horizontal="center" vertical="center" wrapText="1"/>
      <protection locked="0" hidden="1"/>
    </xf>
    <xf numFmtId="0" fontId="59" fillId="0" borderId="162" xfId="1371" applyFont="1" applyBorder="1" applyAlignment="1" applyProtection="1">
      <alignment horizontal="center" vertical="center" wrapText="1"/>
      <protection locked="0" hidden="1"/>
    </xf>
    <xf numFmtId="0" fontId="12" fillId="0" borderId="126" xfId="1371" applyFont="1" applyBorder="1" applyAlignment="1" applyProtection="1">
      <alignment horizontal="center" vertical="center" wrapText="1"/>
      <protection locked="0" hidden="1"/>
    </xf>
    <xf numFmtId="0" fontId="12" fillId="0" borderId="127"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8" fillId="61" borderId="32" xfId="1371" applyFont="1" applyFill="1" applyBorder="1" applyAlignment="1" applyProtection="1">
      <alignment horizontal="center" vertical="center" wrapText="1"/>
      <protection hidden="1"/>
    </xf>
    <xf numFmtId="0" fontId="59" fillId="0" borderId="159" xfId="1371" applyFont="1" applyBorder="1" applyAlignment="1" applyProtection="1">
      <alignment horizontal="center" vertical="center" wrapText="1"/>
      <protection hidden="1"/>
    </xf>
    <xf numFmtId="0" fontId="59" fillId="0" borderId="160" xfId="1371" applyFont="1" applyBorder="1" applyAlignment="1" applyProtection="1">
      <alignment horizontal="center" vertical="center" wrapText="1"/>
      <protection hidden="1"/>
    </xf>
    <xf numFmtId="0" fontId="59" fillId="0" borderId="0" xfId="1371" applyFont="1" applyAlignment="1" applyProtection="1">
      <alignment horizontal="center" vertical="center" wrapText="1"/>
      <protection hidden="1"/>
    </xf>
    <xf numFmtId="0" fontId="59" fillId="0" borderId="16" xfId="1371" applyFont="1" applyBorder="1" applyAlignment="1" applyProtection="1">
      <alignment horizontal="center" vertical="center" wrapText="1"/>
      <protection hidden="1"/>
    </xf>
    <xf numFmtId="0" fontId="59" fillId="0" borderId="18" xfId="1371" applyFont="1" applyBorder="1" applyAlignment="1" applyProtection="1">
      <alignment horizontal="center" vertical="center" wrapText="1"/>
      <protection hidden="1"/>
    </xf>
    <xf numFmtId="0" fontId="59" fillId="0" borderId="19" xfId="1371" applyFont="1" applyBorder="1" applyAlignment="1" applyProtection="1">
      <alignment horizontal="center" vertical="center" wrapText="1"/>
      <protection hidden="1"/>
    </xf>
    <xf numFmtId="0" fontId="70" fillId="0" borderId="152" xfId="1371" applyFont="1" applyBorder="1" applyAlignment="1" applyProtection="1">
      <alignment horizontal="left" vertical="center" wrapText="1"/>
      <protection hidden="1"/>
    </xf>
    <xf numFmtId="0" fontId="77" fillId="0" borderId="152" xfId="1371" applyFont="1" applyBorder="1" applyAlignment="1" applyProtection="1">
      <alignment horizontal="left" vertical="center" wrapText="1"/>
      <protection hidden="1"/>
    </xf>
    <xf numFmtId="0" fontId="77" fillId="0" borderId="153" xfId="1371" applyFont="1" applyBorder="1" applyAlignment="1" applyProtection="1">
      <alignment horizontal="left" vertical="center" wrapText="1"/>
      <protection hidden="1"/>
    </xf>
    <xf numFmtId="0" fontId="59" fillId="0" borderId="126" xfId="1371" applyFont="1" applyBorder="1" applyAlignment="1" applyProtection="1">
      <alignment horizontal="justify" vertical="center" wrapText="1"/>
      <protection locked="0" hidden="1"/>
    </xf>
    <xf numFmtId="0" fontId="59" fillId="0" borderId="127" xfId="1371" applyFont="1" applyBorder="1" applyAlignment="1" applyProtection="1">
      <alignment horizontal="justify" vertical="center" wrapText="1"/>
      <protection locked="0" hidden="1"/>
    </xf>
    <xf numFmtId="0" fontId="59" fillId="0" borderId="162" xfId="1371" applyFont="1" applyBorder="1" applyAlignment="1" applyProtection="1">
      <alignment horizontal="justify" vertical="center" wrapText="1"/>
      <protection locked="0" hidden="1"/>
    </xf>
    <xf numFmtId="0" fontId="70" fillId="50" borderId="152" xfId="1371" applyFont="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0" fontId="59" fillId="50" borderId="155" xfId="1371" applyFont="1" applyFill="1" applyBorder="1" applyAlignment="1" applyProtection="1">
      <alignment horizontal="left" vertical="top" wrapText="1"/>
      <protection locked="0" hidden="1"/>
    </xf>
    <xf numFmtId="0" fontId="59" fillId="50" borderId="159" xfId="1371" applyFont="1" applyFill="1" applyBorder="1" applyAlignment="1" applyProtection="1">
      <alignment horizontal="left" vertical="top" wrapText="1"/>
      <protection locked="0" hidden="1"/>
    </xf>
    <xf numFmtId="0" fontId="59" fillId="50" borderId="160" xfId="1371" applyFont="1" applyFill="1" applyBorder="1" applyAlignment="1" applyProtection="1">
      <alignment horizontal="left" vertical="top" wrapText="1"/>
      <protection locked="0" hidden="1"/>
    </xf>
    <xf numFmtId="0" fontId="59" fillId="50" borderId="113" xfId="1371" applyFont="1" applyFill="1" applyBorder="1" applyAlignment="1" applyProtection="1">
      <alignment horizontal="left" vertical="top" wrapText="1"/>
      <protection locked="0" hidden="1"/>
    </xf>
    <xf numFmtId="0" fontId="59" fillId="50" borderId="0" xfId="1371" applyFont="1" applyFill="1" applyAlignment="1" applyProtection="1">
      <alignment horizontal="left" vertical="top" wrapText="1"/>
      <protection locked="0" hidden="1"/>
    </xf>
    <xf numFmtId="0" fontId="59" fillId="50" borderId="16" xfId="1371" applyFont="1" applyFill="1" applyBorder="1" applyAlignment="1" applyProtection="1">
      <alignment horizontal="left" vertical="top" wrapText="1"/>
      <protection locked="0" hidden="1"/>
    </xf>
    <xf numFmtId="0" fontId="59" fillId="50" borderId="17" xfId="1371" applyFont="1" applyFill="1" applyBorder="1" applyAlignment="1" applyProtection="1">
      <alignment horizontal="left" vertical="top" wrapText="1"/>
      <protection locked="0" hidden="1"/>
    </xf>
    <xf numFmtId="0" fontId="59" fillId="50" borderId="18" xfId="1371" applyFont="1" applyFill="1" applyBorder="1" applyAlignment="1" applyProtection="1">
      <alignment horizontal="left" vertical="top" wrapText="1"/>
      <protection locked="0" hidden="1"/>
    </xf>
    <xf numFmtId="0" fontId="59" fillId="50" borderId="19" xfId="1371" applyFont="1" applyFill="1" applyBorder="1" applyAlignment="1" applyProtection="1">
      <alignment horizontal="left" vertical="top" wrapText="1"/>
      <protection locked="0" hidden="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3" fillId="0" borderId="155" xfId="0" applyFont="1" applyBorder="1" applyAlignment="1">
      <alignment horizontal="left" vertical="center" wrapText="1"/>
    </xf>
    <xf numFmtId="0" fontId="3" fillId="0" borderId="159" xfId="0" applyFont="1" applyBorder="1" applyAlignment="1">
      <alignment horizontal="left" vertical="center" wrapText="1"/>
    </xf>
    <xf numFmtId="0" fontId="4" fillId="0" borderId="113" xfId="0" applyFont="1" applyBorder="1" applyAlignment="1">
      <alignment horizontal="left" vertical="center" wrapText="1"/>
    </xf>
    <xf numFmtId="0" fontId="4" fillId="0" borderId="0" xfId="0" applyFont="1" applyAlignment="1">
      <alignment horizontal="left" vertical="center" wrapText="1"/>
    </xf>
    <xf numFmtId="0" fontId="87" fillId="0" borderId="113" xfId="0" applyFont="1" applyBorder="1" applyAlignment="1">
      <alignment horizontal="left" vertical="center" wrapText="1"/>
    </xf>
    <xf numFmtId="0" fontId="87" fillId="0" borderId="0" xfId="0" applyFont="1" applyAlignment="1">
      <alignment horizontal="left" vertical="center" wrapText="1"/>
    </xf>
    <xf numFmtId="0" fontId="87" fillId="0" borderId="16" xfId="0" applyFont="1" applyBorder="1" applyAlignment="1">
      <alignment horizontal="left" vertical="center" wrapText="1"/>
    </xf>
    <xf numFmtId="0" fontId="87" fillId="0" borderId="159" xfId="0" applyFont="1" applyBorder="1" applyAlignment="1">
      <alignment horizontal="left" vertical="center" wrapText="1"/>
    </xf>
    <xf numFmtId="0" fontId="87" fillId="0" borderId="160" xfId="0" applyFont="1" applyBorder="1" applyAlignment="1">
      <alignment horizontal="left" vertical="center" wrapText="1"/>
    </xf>
    <xf numFmtId="0" fontId="54" fillId="0" borderId="155" xfId="1371" applyFont="1" applyBorder="1" applyAlignment="1" applyProtection="1">
      <alignment horizontal="left" vertical="center" wrapText="1"/>
      <protection locked="0" hidden="1"/>
    </xf>
    <xf numFmtId="0" fontId="54" fillId="0" borderId="159" xfId="1371" applyFont="1" applyBorder="1" applyAlignment="1" applyProtection="1">
      <alignment horizontal="left" vertical="center" wrapText="1"/>
      <protection locked="0" hidden="1"/>
    </xf>
    <xf numFmtId="0" fontId="54" fillId="0" borderId="160" xfId="1371" applyFont="1" applyBorder="1" applyAlignment="1" applyProtection="1">
      <alignment horizontal="left" vertical="center" wrapText="1"/>
      <protection locked="0" hidden="1"/>
    </xf>
    <xf numFmtId="0" fontId="54" fillId="0" borderId="113" xfId="1371" applyFont="1" applyBorder="1" applyAlignment="1" applyProtection="1">
      <alignment horizontal="left" vertical="center" wrapText="1"/>
      <protection locked="0" hidden="1"/>
    </xf>
    <xf numFmtId="0" fontId="54" fillId="0" borderId="0" xfId="1371" applyFont="1" applyAlignment="1" applyProtection="1">
      <alignment horizontal="left" vertical="center" wrapText="1"/>
      <protection locked="0" hidden="1"/>
    </xf>
    <xf numFmtId="0" fontId="54" fillId="0" borderId="16" xfId="1371" applyFont="1" applyBorder="1" applyAlignment="1" applyProtection="1">
      <alignment horizontal="left" vertical="center" wrapText="1"/>
      <protection locked="0" hidden="1"/>
    </xf>
    <xf numFmtId="0" fontId="54" fillId="0" borderId="17" xfId="1371" applyFont="1" applyBorder="1" applyAlignment="1" applyProtection="1">
      <alignment horizontal="left" vertical="center" wrapText="1"/>
      <protection locked="0" hidden="1"/>
    </xf>
    <xf numFmtId="0" fontId="54" fillId="0" borderId="18" xfId="1371" applyFont="1" applyBorder="1" applyAlignment="1" applyProtection="1">
      <alignment horizontal="left" vertical="center" wrapText="1"/>
      <protection locked="0" hidden="1"/>
    </xf>
    <xf numFmtId="0" fontId="54" fillId="0" borderId="19" xfId="1371" applyFont="1" applyBorder="1" applyAlignment="1" applyProtection="1">
      <alignment horizontal="left" vertical="center" wrapText="1"/>
      <protection locked="0" hidden="1"/>
    </xf>
    <xf numFmtId="0" fontId="3" fillId="0" borderId="160" xfId="0" applyFont="1" applyBorder="1" applyAlignment="1">
      <alignment horizontal="left" vertical="center" wrapText="1"/>
    </xf>
    <xf numFmtId="0" fontId="3" fillId="0" borderId="113" xfId="0" applyFont="1" applyBorder="1" applyAlignment="1">
      <alignment horizontal="left" vertical="center" wrapText="1"/>
    </xf>
    <xf numFmtId="0" fontId="3" fillId="0" borderId="0" xfId="0" applyFont="1" applyAlignment="1">
      <alignment horizontal="left" vertical="center"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50" fillId="0" borderId="152" xfId="1371" applyFont="1" applyBorder="1" applyAlignment="1" applyProtection="1">
      <alignment horizontal="center" vertical="center" wrapText="1"/>
      <protection hidden="1"/>
    </xf>
    <xf numFmtId="0" fontId="50" fillId="0" borderId="152" xfId="1371" applyFont="1" applyBorder="1" applyAlignment="1" applyProtection="1">
      <alignment horizontal="center" vertical="center"/>
      <protection hidden="1"/>
    </xf>
    <xf numFmtId="0" fontId="54" fillId="0" borderId="126" xfId="1371" applyFont="1" applyBorder="1" applyAlignment="1" applyProtection="1">
      <alignment horizontal="left" vertical="center" wrapText="1"/>
      <protection locked="0" hidden="1"/>
    </xf>
    <xf numFmtId="0" fontId="54" fillId="0" borderId="127" xfId="1371" applyFont="1" applyBorder="1" applyAlignment="1" applyProtection="1">
      <alignment horizontal="left" vertical="center" wrapText="1"/>
      <protection locked="0" hidden="1"/>
    </xf>
    <xf numFmtId="0" fontId="54" fillId="0" borderId="162" xfId="1371" applyFont="1" applyBorder="1" applyAlignment="1" applyProtection="1">
      <alignment horizontal="left" vertical="center" wrapText="1"/>
      <protection locked="0" hidden="1"/>
    </xf>
    <xf numFmtId="0" fontId="55" fillId="0" borderId="155" xfId="1371" applyFont="1" applyBorder="1" applyAlignment="1" applyProtection="1">
      <alignment horizontal="left" vertical="top" wrapText="1"/>
      <protection locked="0" hidden="1"/>
    </xf>
    <xf numFmtId="0" fontId="55" fillId="0" borderId="159" xfId="1371" applyFont="1" applyBorder="1" applyAlignment="1" applyProtection="1">
      <alignment horizontal="left" vertical="top" wrapText="1"/>
      <protection locked="0" hidden="1"/>
    </xf>
    <xf numFmtId="0" fontId="55" fillId="0" borderId="113" xfId="1371" applyFont="1" applyBorder="1" applyAlignment="1" applyProtection="1">
      <alignment horizontal="left" vertical="top" wrapText="1"/>
      <protection locked="0" hidden="1"/>
    </xf>
    <xf numFmtId="0" fontId="55" fillId="0" borderId="0" xfId="1371" applyFont="1" applyAlignment="1" applyProtection="1">
      <alignment horizontal="left" vertical="top" wrapText="1"/>
      <protection locked="0" hidden="1"/>
    </xf>
    <xf numFmtId="0" fontId="54" fillId="0" borderId="155" xfId="1371" applyFont="1" applyBorder="1" applyAlignment="1" applyProtection="1">
      <alignment horizontal="left" vertical="top" wrapText="1"/>
      <protection locked="0" hidden="1"/>
    </xf>
    <xf numFmtId="0" fontId="54" fillId="0" borderId="159" xfId="1371" applyFont="1" applyBorder="1" applyAlignment="1" applyProtection="1">
      <alignment horizontal="left" vertical="top" wrapText="1"/>
      <protection locked="0" hidden="1"/>
    </xf>
    <xf numFmtId="0" fontId="54" fillId="0" borderId="160" xfId="1371" applyFont="1" applyBorder="1" applyAlignment="1" applyProtection="1">
      <alignment horizontal="left" vertical="top" wrapText="1"/>
      <protection locked="0" hidden="1"/>
    </xf>
    <xf numFmtId="0" fontId="54" fillId="0" borderId="113" xfId="1371" applyFont="1" applyBorder="1" applyAlignment="1" applyProtection="1">
      <alignment horizontal="left" vertical="top" wrapText="1"/>
      <protection locked="0" hidden="1"/>
    </xf>
    <xf numFmtId="0" fontId="54" fillId="0" borderId="0" xfId="1371" applyFont="1" applyAlignment="1" applyProtection="1">
      <alignment horizontal="left" vertical="top" wrapText="1"/>
      <protection locked="0" hidden="1"/>
    </xf>
    <xf numFmtId="0" fontId="54" fillId="0" borderId="16" xfId="1371" applyFont="1" applyBorder="1" applyAlignment="1" applyProtection="1">
      <alignment horizontal="left" vertical="top" wrapText="1"/>
      <protection locked="0" hidden="1"/>
    </xf>
    <xf numFmtId="0" fontId="54" fillId="0" borderId="17" xfId="1371" applyFont="1" applyBorder="1" applyAlignment="1" applyProtection="1">
      <alignment horizontal="left" vertical="top" wrapText="1"/>
      <protection locked="0" hidden="1"/>
    </xf>
    <xf numFmtId="0" fontId="54" fillId="0" borderId="18" xfId="1371" applyFont="1" applyBorder="1" applyAlignment="1" applyProtection="1">
      <alignment horizontal="left" vertical="top" wrapText="1"/>
      <protection locked="0" hidden="1"/>
    </xf>
    <xf numFmtId="0" fontId="54" fillId="0" borderId="19" xfId="1371" applyFont="1" applyBorder="1" applyAlignment="1" applyProtection="1">
      <alignment horizontal="left" vertical="top" wrapText="1"/>
      <protection locked="0" hidden="1"/>
    </xf>
    <xf numFmtId="0" fontId="3" fillId="0" borderId="155" xfId="0" applyFont="1" applyBorder="1" applyAlignment="1">
      <alignment horizontal="left" vertical="top" wrapText="1"/>
    </xf>
    <xf numFmtId="0" fontId="3" fillId="0" borderId="159" xfId="0" applyFont="1" applyBorder="1" applyAlignment="1">
      <alignment horizontal="left" vertical="top" wrapText="1"/>
    </xf>
    <xf numFmtId="0" fontId="3" fillId="0" borderId="160"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9" fillId="0" borderId="152" xfId="1371" applyFont="1" applyBorder="1" applyAlignment="1" applyProtection="1">
      <alignment horizontal="center" vertical="center" wrapText="1"/>
      <protection locked="0"/>
    </xf>
    <xf numFmtId="0" fontId="9" fillId="0" borderId="153" xfId="1371" applyFont="1" applyBorder="1" applyAlignment="1" applyProtection="1">
      <alignment horizontal="center" vertical="center" wrapText="1"/>
      <protection locked="0"/>
    </xf>
    <xf numFmtId="0" fontId="81" fillId="65" borderId="113" xfId="0" applyFont="1" applyFill="1" applyBorder="1" applyAlignment="1">
      <alignment horizontal="justify" vertical="center" wrapText="1"/>
    </xf>
    <xf numFmtId="0" fontId="81" fillId="65" borderId="0" xfId="0" applyFont="1" applyFill="1" applyAlignment="1">
      <alignment horizontal="justify" vertical="center" wrapText="1"/>
    </xf>
    <xf numFmtId="0" fontId="81" fillId="65" borderId="17" xfId="0" applyFont="1" applyFill="1" applyBorder="1" applyAlignment="1">
      <alignment horizontal="justify" vertical="center" wrapText="1"/>
    </xf>
    <xf numFmtId="0" fontId="81" fillId="65" borderId="18" xfId="0" applyFont="1" applyFill="1" applyBorder="1" applyAlignment="1">
      <alignment horizontal="justify" vertical="center" wrapText="1"/>
    </xf>
    <xf numFmtId="0" fontId="80" fillId="24" borderId="0" xfId="1371" applyFont="1" applyFill="1" applyAlignment="1" applyProtection="1">
      <alignment horizontal="center" vertical="center"/>
      <protection hidden="1"/>
    </xf>
    <xf numFmtId="0" fontId="81" fillId="65" borderId="155" xfId="0" applyFont="1" applyFill="1" applyBorder="1" applyAlignment="1">
      <alignment horizontal="justify" vertical="center" wrapText="1"/>
    </xf>
    <xf numFmtId="0" fontId="81" fillId="65" borderId="159" xfId="0" applyFont="1" applyFill="1" applyBorder="1" applyAlignment="1">
      <alignment horizontal="justify" vertical="center" wrapText="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2" xfId="1496" applyNumberFormat="1" applyFont="1" applyFill="1" applyBorder="1" applyAlignment="1" applyProtection="1">
      <alignment horizontal="center" vertical="center" wrapText="1"/>
      <protection hidden="1"/>
    </xf>
    <xf numFmtId="0" fontId="59" fillId="0" borderId="152" xfId="1371" applyFont="1" applyBorder="1" applyAlignment="1" applyProtection="1">
      <alignment horizontal="justify" vertical="center" wrapText="1"/>
      <protection locked="0" hidden="1"/>
    </xf>
    <xf numFmtId="0" fontId="59" fillId="0" borderId="153" xfId="1371" applyFont="1" applyBorder="1" applyAlignment="1" applyProtection="1">
      <alignment horizontal="justify" vertical="center" wrapText="1"/>
      <protection locked="0" hidden="1"/>
    </xf>
    <xf numFmtId="165" fontId="12" fillId="50" borderId="156" xfId="1250" applyFont="1" applyFill="1" applyBorder="1" applyAlignment="1" applyProtection="1">
      <alignment horizontal="center" vertical="center" wrapText="1"/>
      <protection locked="0" hidden="1"/>
    </xf>
    <xf numFmtId="165" fontId="12" fillId="50" borderId="23" xfId="1250" applyFont="1" applyFill="1" applyBorder="1" applyAlignment="1" applyProtection="1">
      <alignment horizontal="center" vertical="center" wrapText="1"/>
      <protection locked="0" hidden="1"/>
    </xf>
    <xf numFmtId="165" fontId="12" fillId="50" borderId="15" xfId="1250" applyFont="1" applyFill="1" applyBorder="1" applyAlignment="1" applyProtection="1">
      <alignment horizontal="center" vertical="center" wrapText="1"/>
      <protection locked="0" hidden="1"/>
    </xf>
    <xf numFmtId="165" fontId="12" fillId="50" borderId="154" xfId="1250" applyFont="1" applyFill="1" applyBorder="1" applyAlignment="1" applyProtection="1">
      <alignment horizontal="center" vertical="center" wrapText="1"/>
      <protection locked="0" hidden="1"/>
    </xf>
    <xf numFmtId="165" fontId="12" fillId="50" borderId="47" xfId="1250" applyFont="1" applyFill="1" applyBorder="1" applyAlignment="1" applyProtection="1">
      <alignment horizontal="center" vertical="center" wrapText="1"/>
      <protection locked="0" hidden="1"/>
    </xf>
    <xf numFmtId="165" fontId="12" fillId="50" borderId="48" xfId="1250" applyFont="1" applyFill="1" applyBorder="1" applyAlignment="1" applyProtection="1">
      <alignment horizontal="center" vertical="center" wrapText="1"/>
      <protection locked="0" hidden="1"/>
    </xf>
    <xf numFmtId="165" fontId="9" fillId="50" borderId="154" xfId="1250" applyFont="1" applyFill="1" applyBorder="1" applyAlignment="1" applyProtection="1">
      <alignment horizontal="center" vertical="center" wrapText="1"/>
      <protection locked="0" hidden="1"/>
    </xf>
    <xf numFmtId="165" fontId="9" fillId="50" borderId="47" xfId="1250" applyFont="1" applyFill="1" applyBorder="1" applyAlignment="1" applyProtection="1">
      <alignment horizontal="center" vertical="center" wrapText="1"/>
      <protection locked="0" hidden="1"/>
    </xf>
    <xf numFmtId="165" fontId="9" fillId="50" borderId="48" xfId="1250" applyFont="1" applyFill="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2" xfId="1371" applyFont="1" applyFill="1" applyBorder="1" applyAlignment="1" applyProtection="1">
      <alignment horizontal="justify" vertical="center" wrapText="1"/>
      <protection locked="0" hidden="1"/>
    </xf>
    <xf numFmtId="0" fontId="59" fillId="50" borderId="126" xfId="1371" applyFont="1" applyFill="1" applyBorder="1" applyAlignment="1" applyProtection="1">
      <alignment horizontal="left" vertical="center" wrapText="1"/>
      <protection locked="0"/>
    </xf>
    <xf numFmtId="0" fontId="59" fillId="50" borderId="127" xfId="1371" applyFont="1" applyFill="1" applyBorder="1" applyAlignment="1" applyProtection="1">
      <alignment horizontal="left" vertical="center" wrapText="1"/>
      <protection locked="0"/>
    </xf>
    <xf numFmtId="0" fontId="59" fillId="50" borderId="162" xfId="1371" applyFont="1" applyFill="1" applyBorder="1" applyAlignment="1" applyProtection="1">
      <alignment horizontal="left" vertical="center" wrapText="1"/>
      <protection locked="0"/>
    </xf>
    <xf numFmtId="0" fontId="59" fillId="50" borderId="155" xfId="1371" applyFont="1" applyFill="1" applyBorder="1" applyAlignment="1" applyProtection="1">
      <alignment horizontal="left" vertical="center" wrapText="1"/>
      <protection locked="0"/>
    </xf>
    <xf numFmtId="0" fontId="59" fillId="50" borderId="159" xfId="1371" applyFont="1" applyFill="1" applyBorder="1" applyAlignment="1" applyProtection="1">
      <alignment horizontal="left" vertical="center" wrapText="1"/>
      <protection locked="0"/>
    </xf>
    <xf numFmtId="0" fontId="59" fillId="50" borderId="160" xfId="1371" applyFont="1" applyFill="1" applyBorder="1" applyAlignment="1" applyProtection="1">
      <alignment horizontal="left" vertical="center" wrapText="1"/>
      <protection locked="0"/>
    </xf>
    <xf numFmtId="0" fontId="59" fillId="50" borderId="113" xfId="1371" applyFont="1" applyFill="1" applyBorder="1" applyAlignment="1" applyProtection="1">
      <alignment horizontal="left" vertical="center" wrapText="1"/>
      <protection locked="0"/>
    </xf>
    <xf numFmtId="0" fontId="59" fillId="50" borderId="0" xfId="1371" applyFont="1" applyFill="1" applyAlignment="1" applyProtection="1">
      <alignment horizontal="left" vertical="center" wrapText="1"/>
      <protection locked="0"/>
    </xf>
    <xf numFmtId="0" fontId="59" fillId="50" borderId="16" xfId="1371" applyFont="1" applyFill="1" applyBorder="1" applyAlignment="1" applyProtection="1">
      <alignment horizontal="left" vertical="center" wrapText="1"/>
      <protection locked="0"/>
    </xf>
    <xf numFmtId="0" fontId="59" fillId="50" borderId="17" xfId="1371" applyFont="1" applyFill="1" applyBorder="1" applyAlignment="1" applyProtection="1">
      <alignment horizontal="left" vertical="center" wrapText="1"/>
      <protection locked="0"/>
    </xf>
    <xf numFmtId="0" fontId="59" fillId="50" borderId="18" xfId="1371" applyFont="1" applyFill="1" applyBorder="1" applyAlignment="1" applyProtection="1">
      <alignment horizontal="left" vertical="center" wrapText="1"/>
      <protection locked="0"/>
    </xf>
    <xf numFmtId="0" fontId="59" fillId="50" borderId="19" xfId="1371" applyFont="1" applyFill="1" applyBorder="1" applyAlignment="1" applyProtection="1">
      <alignment horizontal="left" vertical="center" wrapText="1"/>
      <protection locked="0"/>
    </xf>
    <xf numFmtId="0" fontId="5" fillId="0" borderId="126" xfId="1371" applyFont="1" applyBorder="1" applyAlignment="1" applyProtection="1">
      <alignment horizontal="center" vertical="center" wrapText="1"/>
      <protection locked="0" hidden="1"/>
    </xf>
    <xf numFmtId="0" fontId="5" fillId="0" borderId="127" xfId="1371" applyFont="1" applyBorder="1" applyAlignment="1" applyProtection="1">
      <alignment horizontal="center" vertical="center" wrapText="1"/>
      <protection locked="0" hidden="1"/>
    </xf>
    <xf numFmtId="0" fontId="5" fillId="0" borderId="162" xfId="1371" applyFont="1" applyBorder="1" applyAlignment="1" applyProtection="1">
      <alignment horizontal="center" vertical="center" wrapText="1"/>
      <protection locked="0" hidden="1"/>
    </xf>
    <xf numFmtId="0" fontId="5" fillId="0" borderId="78" xfId="1371" applyFont="1" applyBorder="1" applyAlignment="1" applyProtection="1">
      <alignment horizontal="center" vertical="center" wrapText="1"/>
      <protection locked="0" hidden="1"/>
    </xf>
    <xf numFmtId="0" fontId="5" fillId="0" borderId="79" xfId="1371" applyFont="1" applyBorder="1" applyAlignment="1" applyProtection="1">
      <alignment horizontal="center" vertical="center" wrapText="1"/>
      <protection locked="0" hidden="1"/>
    </xf>
    <xf numFmtId="0" fontId="5" fillId="0" borderId="80" xfId="1371" applyFont="1" applyBorder="1" applyAlignment="1" applyProtection="1">
      <alignment horizontal="center" vertical="center" wrapText="1"/>
      <protection locked="0" hidden="1"/>
    </xf>
    <xf numFmtId="0" fontId="9" fillId="50" borderId="126" xfId="1371" applyFont="1" applyFill="1" applyBorder="1" applyAlignment="1" applyProtection="1">
      <alignment horizontal="center" vertical="center" wrapText="1"/>
      <protection locked="0"/>
    </xf>
    <xf numFmtId="0" fontId="9" fillId="50" borderId="161" xfId="1371" applyFont="1" applyFill="1" applyBorder="1" applyAlignment="1" applyProtection="1">
      <alignment horizontal="center" vertical="center" wrapText="1"/>
      <protection locked="0"/>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61"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2" xfId="0" applyFont="1" applyFill="1" applyBorder="1" applyAlignment="1">
      <alignment horizontal="justify" vertical="center" wrapText="1"/>
    </xf>
    <xf numFmtId="0" fontId="9" fillId="50" borderId="161" xfId="1371" applyFont="1" applyFill="1" applyBorder="1" applyAlignment="1">
      <alignment horizontal="center"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2" xfId="1495" applyNumberFormat="1" applyFont="1" applyFill="1" applyBorder="1" applyAlignment="1">
      <alignment horizontal="center" vertical="center" wrapText="1"/>
    </xf>
    <xf numFmtId="0" fontId="9" fillId="50" borderId="161"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61" xfId="1371" applyFont="1" applyBorder="1" applyAlignment="1">
      <alignment horizontal="justify"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2" xfId="1371" applyFont="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2" xfId="1371" applyFont="1" applyFill="1" applyBorder="1" applyAlignment="1">
      <alignment horizontal="left"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2" xfId="1371" applyFont="1" applyFill="1" applyBorder="1" applyAlignment="1">
      <alignment horizontal="center" vertical="center"/>
    </xf>
    <xf numFmtId="0" fontId="9" fillId="0" borderId="161" xfId="1371" applyFont="1" applyBorder="1" applyAlignment="1">
      <alignment horizontal="center" vertical="center" wrapText="1"/>
    </xf>
    <xf numFmtId="0" fontId="8" fillId="50" borderId="126" xfId="1496" applyNumberFormat="1" applyFont="1" applyFill="1" applyBorder="1" applyAlignment="1">
      <alignment horizontal="center" vertical="center" wrapText="1"/>
    </xf>
    <xf numFmtId="0" fontId="8" fillId="50" borderId="162" xfId="1496" applyNumberFormat="1" applyFont="1" applyFill="1" applyBorder="1" applyAlignment="1">
      <alignment horizontal="center" vertical="center" wrapText="1"/>
    </xf>
    <xf numFmtId="0" fontId="49" fillId="56" borderId="126" xfId="0" applyFont="1" applyFill="1" applyBorder="1" applyAlignment="1">
      <alignment horizontal="center" vertical="center" wrapText="1"/>
    </xf>
    <xf numFmtId="0" fontId="49" fillId="56" borderId="161"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61"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xf numFmtId="0" fontId="9" fillId="0" borderId="126" xfId="1371" applyFont="1" applyBorder="1" applyAlignment="1" applyProtection="1">
      <alignment horizontal="left" vertical="center" wrapText="1"/>
      <protection hidden="1"/>
    </xf>
    <xf numFmtId="0" fontId="9" fillId="0" borderId="127" xfId="1371" applyFont="1" applyBorder="1" applyAlignment="1" applyProtection="1">
      <alignment horizontal="left" vertical="center" wrapText="1"/>
      <protection hidden="1"/>
    </xf>
    <xf numFmtId="0" fontId="9" fillId="0" borderId="162" xfId="1371" applyFont="1" applyBorder="1" applyAlignment="1" applyProtection="1">
      <alignment horizontal="left" vertical="center" wrapText="1"/>
      <protection hidden="1"/>
    </xf>
    <xf numFmtId="0" fontId="51" fillId="50" borderId="155" xfId="1371" applyFont="1" applyFill="1" applyBorder="1" applyAlignment="1" applyProtection="1">
      <alignment horizontal="left" vertical="top" wrapText="1"/>
      <protection locked="0" hidden="1"/>
    </xf>
    <xf numFmtId="0" fontId="51" fillId="50" borderId="159" xfId="1371" applyFont="1" applyFill="1" applyBorder="1" applyAlignment="1" applyProtection="1">
      <alignment horizontal="left" vertical="top" wrapText="1"/>
      <protection locked="0" hidden="1"/>
    </xf>
    <xf numFmtId="0" fontId="51" fillId="50" borderId="160" xfId="1371" applyFont="1" applyFill="1" applyBorder="1" applyAlignment="1" applyProtection="1">
      <alignment horizontal="left" vertical="top" wrapText="1"/>
      <protection locked="0" hidden="1"/>
    </xf>
    <xf numFmtId="0" fontId="51" fillId="50" borderId="113" xfId="1371" applyFont="1" applyFill="1" applyBorder="1" applyAlignment="1" applyProtection="1">
      <alignment horizontal="left" vertical="top" wrapText="1"/>
      <protection locked="0" hidden="1"/>
    </xf>
    <xf numFmtId="0" fontId="51" fillId="50" borderId="0" xfId="1371" applyFont="1" applyFill="1" applyAlignment="1" applyProtection="1">
      <alignment horizontal="left" vertical="top" wrapText="1"/>
      <protection locked="0" hidden="1"/>
    </xf>
    <xf numFmtId="0" fontId="51" fillId="50" borderId="16" xfId="1371" applyFont="1" applyFill="1" applyBorder="1" applyAlignment="1" applyProtection="1">
      <alignment horizontal="left" vertical="top" wrapText="1"/>
      <protection locked="0" hidden="1"/>
    </xf>
    <xf numFmtId="0" fontId="51" fillId="50" borderId="17" xfId="1371" applyFont="1" applyFill="1" applyBorder="1" applyAlignment="1" applyProtection="1">
      <alignment horizontal="left" vertical="top" wrapText="1"/>
      <protection locked="0" hidden="1"/>
    </xf>
    <xf numFmtId="0" fontId="51" fillId="50" borderId="18" xfId="1371" applyFont="1" applyFill="1" applyBorder="1" applyAlignment="1" applyProtection="1">
      <alignment horizontal="left" vertical="top" wrapText="1"/>
      <protection locked="0" hidden="1"/>
    </xf>
    <xf numFmtId="0" fontId="51" fillId="50" borderId="19" xfId="1371" applyFont="1" applyFill="1" applyBorder="1" applyAlignment="1" applyProtection="1">
      <alignment horizontal="left" vertical="top" wrapText="1"/>
      <protection locked="0" hidden="1"/>
    </xf>
    <xf numFmtId="0" fontId="54" fillId="50" borderId="155" xfId="1371" applyFont="1" applyFill="1" applyBorder="1" applyAlignment="1" applyProtection="1">
      <alignment horizontal="left" vertical="center" wrapText="1"/>
      <protection locked="0" hidden="1"/>
    </xf>
    <xf numFmtId="0" fontId="54" fillId="50" borderId="159" xfId="1371" applyFont="1" applyFill="1" applyBorder="1" applyAlignment="1" applyProtection="1">
      <alignment horizontal="left" vertical="center" wrapText="1"/>
      <protection locked="0" hidden="1"/>
    </xf>
    <xf numFmtId="0" fontId="54" fillId="50" borderId="160" xfId="1371" applyFont="1" applyFill="1" applyBorder="1" applyAlignment="1" applyProtection="1">
      <alignment horizontal="left" vertical="center" wrapText="1"/>
      <protection locked="0" hidden="1"/>
    </xf>
    <xf numFmtId="0" fontId="54" fillId="50" borderId="113" xfId="1371" applyFont="1" applyFill="1" applyBorder="1" applyAlignment="1" applyProtection="1">
      <alignment horizontal="left" vertical="center" wrapText="1"/>
      <protection locked="0" hidden="1"/>
    </xf>
    <xf numFmtId="0" fontId="54" fillId="50" borderId="0" xfId="1371" applyFont="1" applyFill="1" applyAlignment="1" applyProtection="1">
      <alignment horizontal="left" vertical="center" wrapText="1"/>
      <protection locked="0" hidden="1"/>
    </xf>
    <xf numFmtId="0" fontId="54" fillId="50" borderId="16" xfId="1371" applyFont="1" applyFill="1" applyBorder="1" applyAlignment="1" applyProtection="1">
      <alignment horizontal="left" vertical="center" wrapText="1"/>
      <protection locked="0" hidden="1"/>
    </xf>
    <xf numFmtId="0" fontId="54" fillId="50" borderId="17" xfId="1371" applyFont="1" applyFill="1" applyBorder="1" applyAlignment="1" applyProtection="1">
      <alignment horizontal="left" vertical="center" wrapText="1"/>
      <protection locked="0" hidden="1"/>
    </xf>
    <xf numFmtId="0" fontId="54" fillId="50" borderId="18" xfId="1371" applyFont="1" applyFill="1" applyBorder="1" applyAlignment="1" applyProtection="1">
      <alignment horizontal="left" vertical="center" wrapText="1"/>
      <protection locked="0" hidden="1"/>
    </xf>
    <xf numFmtId="0" fontId="54" fillId="50" borderId="19" xfId="1371" applyFont="1" applyFill="1" applyBorder="1" applyAlignment="1" applyProtection="1">
      <alignment horizontal="left" vertical="center" wrapText="1"/>
      <protection locked="0" hidden="1"/>
    </xf>
    <xf numFmtId="0" fontId="88" fillId="0" borderId="126" xfId="1371" applyFont="1" applyFill="1" applyBorder="1" applyAlignment="1" applyProtection="1">
      <alignment horizontal="justify" vertical="top" wrapText="1"/>
      <protection locked="0" hidden="1"/>
    </xf>
    <xf numFmtId="0" fontId="88" fillId="0" borderId="127" xfId="1371" applyFont="1" applyFill="1" applyBorder="1" applyAlignment="1" applyProtection="1">
      <alignment horizontal="justify" vertical="top" wrapText="1"/>
      <protection locked="0" hidden="1"/>
    </xf>
    <xf numFmtId="0" fontId="88" fillId="0" borderId="162" xfId="1371" applyFont="1" applyFill="1" applyBorder="1" applyAlignment="1" applyProtection="1">
      <alignment horizontal="justify" vertical="top" wrapText="1"/>
      <protection locked="0" hidden="1"/>
    </xf>
  </cellXfs>
  <cellStyles count="32118">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0</c:v>
                </c:pt>
                <c:pt idx="1">
                  <c:v>0</c:v>
                </c:pt>
                <c:pt idx="2">
                  <c:v>2.5679999999999998E-2</c:v>
                </c:pt>
                <c:pt idx="3">
                  <c:v>2.5679999999999998E-2</c:v>
                </c:pt>
                <c:pt idx="4">
                  <c:v>9.6160000000000009E-2</c:v>
                </c:pt>
                <c:pt idx="5">
                  <c:v>8.5760000000000003E-2</c:v>
                </c:pt>
                <c:pt idx="6">
                  <c:v>1.9760000000000003E-2</c:v>
                </c:pt>
                <c:pt idx="7">
                  <c:v>1.9760000000000003E-2</c:v>
                </c:pt>
                <c:pt idx="8">
                  <c:v>1.9760000000000003E-2</c:v>
                </c:pt>
                <c:pt idx="9">
                  <c:v>1.9760000000000003E-2</c:v>
                </c:pt>
                <c:pt idx="10">
                  <c:v>1.9760000000000003E-2</c:v>
                </c:pt>
                <c:pt idx="11">
                  <c:v>6.7920000000000008E-2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0</c:v>
                </c:pt>
                <c:pt idx="1">
                  <c:v>0</c:v>
                </c:pt>
                <c:pt idx="2">
                  <c:v>2.5679999999999998E-2</c:v>
                </c:pt>
                <c:pt idx="3">
                  <c:v>2.5679999999999998E-2</c:v>
                </c:pt>
                <c:pt idx="4">
                  <c:v>9.6160000000000009E-2</c:v>
                </c:pt>
                <c:pt idx="5">
                  <c:v>0</c:v>
                </c:pt>
                <c:pt idx="6">
                  <c:v>0</c:v>
                </c:pt>
                <c:pt idx="7">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6.4199999999999993E-2</c:v>
                </c:pt>
                <c:pt idx="3">
                  <c:v>0.12839999999999999</c:v>
                </c:pt>
                <c:pt idx="4">
                  <c:v>0.36880000000000002</c:v>
                </c:pt>
                <c:pt idx="5">
                  <c:v>0.36880000000000002</c:v>
                </c:pt>
                <c:pt idx="6">
                  <c:v>0.36880000000000002</c:v>
                </c:pt>
                <c:pt idx="7">
                  <c:v>0.36880000000000002</c:v>
                </c:pt>
                <c:pt idx="8">
                  <c:v>0</c:v>
                </c:pt>
                <c:pt idx="9">
                  <c:v>0</c:v>
                </c:pt>
                <c:pt idx="10">
                  <c:v>0</c:v>
                </c:pt>
                <c:pt idx="11">
                  <c:v>0</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8.3299999999999999E-2</c:v>
                </c:pt>
                <c:pt idx="1">
                  <c:v>0.1666</c:v>
                </c:pt>
                <c:pt idx="2">
                  <c:v>0.24990000000000001</c:v>
                </c:pt>
                <c:pt idx="3">
                  <c:v>0.3332</c:v>
                </c:pt>
                <c:pt idx="4">
                  <c:v>0.41649999999999998</c:v>
                </c:pt>
                <c:pt idx="5">
                  <c:v>0.49979999999999997</c:v>
                </c:pt>
                <c:pt idx="6">
                  <c:v>0.58309999999999995</c:v>
                </c:pt>
                <c:pt idx="7">
                  <c:v>0.66639999999999999</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2.7029999999999998E-2</c:v>
                </c:pt>
                <c:pt idx="1">
                  <c:v>1.9199999999999998E-2</c:v>
                </c:pt>
                <c:pt idx="2">
                  <c:v>1.6980000000000002E-2</c:v>
                </c:pt>
                <c:pt idx="3">
                  <c:v>3.1829999999999997E-2</c:v>
                </c:pt>
                <c:pt idx="4">
                  <c:v>1.6980000000000002E-2</c:v>
                </c:pt>
                <c:pt idx="5">
                  <c:v>1.728E-2</c:v>
                </c:pt>
                <c:pt idx="6">
                  <c:v>3.3270000000000001E-2</c:v>
                </c:pt>
                <c:pt idx="7">
                  <c:v>2.6279999999999998E-2</c:v>
                </c:pt>
                <c:pt idx="8">
                  <c:v>2.2079999999999999E-2</c:v>
                </c:pt>
                <c:pt idx="9">
                  <c:v>5.1869999999999999E-2</c:v>
                </c:pt>
                <c:pt idx="10">
                  <c:v>2.3699999999999999E-2</c:v>
                </c:pt>
                <c:pt idx="11">
                  <c:v>1.6049999999999998E-2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2.7029999999999998E-2</c:v>
                </c:pt>
                <c:pt idx="1">
                  <c:v>1.9199999999999998E-2</c:v>
                </c:pt>
                <c:pt idx="2">
                  <c:v>1.6980000000000002E-2</c:v>
                </c:pt>
                <c:pt idx="3">
                  <c:v>3.1829999999999997E-2</c:v>
                </c:pt>
                <c:pt idx="4">
                  <c:v>1.6980000000000002E-2</c:v>
                </c:pt>
                <c:pt idx="5">
                  <c:v>0.02</c:v>
                </c:pt>
                <c:pt idx="6">
                  <c:v>0.03</c:v>
                </c:pt>
                <c:pt idx="7">
                  <c:v>2.6279999999999998E-2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9.01E-2</c:v>
                </c:pt>
                <c:pt idx="1">
                  <c:v>0.15410000000000001</c:v>
                </c:pt>
                <c:pt idx="2">
                  <c:v>0.21070000000000003</c:v>
                </c:pt>
                <c:pt idx="3">
                  <c:v>0.31680000000000003</c:v>
                </c:pt>
                <c:pt idx="4">
                  <c:v>0.37340000000000007</c:v>
                </c:pt>
                <c:pt idx="5">
                  <c:v>0.44006666666666672</c:v>
                </c:pt>
                <c:pt idx="6">
                  <c:v>0.54006666666666669</c:v>
                </c:pt>
                <c:pt idx="7">
                  <c:v>0.62766666666666671</c:v>
                </c:pt>
                <c:pt idx="8">
                  <c:v>0</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0.09</c:v>
                </c:pt>
                <c:pt idx="1">
                  <c:v>0.01</c:v>
                </c:pt>
                <c:pt idx="2">
                  <c:v>0.01</c:v>
                </c:pt>
                <c:pt idx="3">
                  <c:v>0.01</c:v>
                </c:pt>
                <c:pt idx="4">
                  <c:v>0.06</c:v>
                </c:pt>
                <c:pt idx="5">
                  <c:v>1.43E-2</c:v>
                </c:pt>
                <c:pt idx="6">
                  <c:v>1.43E-2</c:v>
                </c:pt>
                <c:pt idx="7">
                  <c:v>1.4279999999999998E-2</c:v>
                </c:pt>
                <c:pt idx="8">
                  <c:v>3.4290000000000001E-2</c:v>
                </c:pt>
                <c:pt idx="9">
                  <c:v>1.4279999999999998E-2</c:v>
                </c:pt>
                <c:pt idx="10">
                  <c:v>1.4279999999999998E-2</c:v>
                </c:pt>
                <c:pt idx="11">
                  <c:v>1.4279999999999998E-2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0.09</c:v>
                </c:pt>
                <c:pt idx="1">
                  <c:v>0.01</c:v>
                </c:pt>
                <c:pt idx="2">
                  <c:v>0.01</c:v>
                </c:pt>
                <c:pt idx="3">
                  <c:v>0.01</c:v>
                </c:pt>
                <c:pt idx="4">
                  <c:v>0.06</c:v>
                </c:pt>
                <c:pt idx="5">
                  <c:v>1.43E-2</c:v>
                </c:pt>
                <c:pt idx="6">
                  <c:v>1.43E-2</c:v>
                </c:pt>
                <c:pt idx="7">
                  <c:v>1.4279999999999998E-2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0.3</c:v>
                </c:pt>
                <c:pt idx="1">
                  <c:v>0.33333333333333331</c:v>
                </c:pt>
                <c:pt idx="2">
                  <c:v>0.36666666666666664</c:v>
                </c:pt>
                <c:pt idx="3">
                  <c:v>0.39999999999999997</c:v>
                </c:pt>
                <c:pt idx="4">
                  <c:v>0.6</c:v>
                </c:pt>
                <c:pt idx="5">
                  <c:v>0.64766666666666661</c:v>
                </c:pt>
                <c:pt idx="6">
                  <c:v>0.69533333333333325</c:v>
                </c:pt>
                <c:pt idx="7">
                  <c:v>0.74293333333333322</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8.3299999999999999E-2</c:v>
                </c:pt>
                <c:pt idx="1">
                  <c:v>0.1666</c:v>
                </c:pt>
                <c:pt idx="2">
                  <c:v>0.24990000000000001</c:v>
                </c:pt>
                <c:pt idx="3">
                  <c:v>0.3332</c:v>
                </c:pt>
                <c:pt idx="4">
                  <c:v>0.41649999999999998</c:v>
                </c:pt>
                <c:pt idx="5">
                  <c:v>0.49979999999999997</c:v>
                </c:pt>
                <c:pt idx="6">
                  <c:v>0.58309999999999995</c:v>
                </c:pt>
                <c:pt idx="7">
                  <c:v>0.66639999999999999</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0.27300000000000002</c:v>
                </c:pt>
                <c:pt idx="1">
                  <c:v>0.252</c:v>
                </c:pt>
                <c:pt idx="2">
                  <c:v>0.2631</c:v>
                </c:pt>
                <c:pt idx="3">
                  <c:v>0.23099999999999998</c:v>
                </c:pt>
                <c:pt idx="4">
                  <c:v>0.23039999999999999</c:v>
                </c:pt>
                <c:pt idx="5">
                  <c:v>0.28439999999999999</c:v>
                </c:pt>
                <c:pt idx="6">
                  <c:v>0.23099999999999998</c:v>
                </c:pt>
                <c:pt idx="7">
                  <c:v>0.2361</c:v>
                </c:pt>
                <c:pt idx="8">
                  <c:v>0.2412</c:v>
                </c:pt>
                <c:pt idx="9">
                  <c:v>0.23099999999999998</c:v>
                </c:pt>
                <c:pt idx="10">
                  <c:v>0.27360000000000001</c:v>
                </c:pt>
                <c:pt idx="11">
                  <c:v>0.2571</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0.21959999999999999</c:v>
                </c:pt>
                <c:pt idx="1">
                  <c:v>0.2379</c:v>
                </c:pt>
                <c:pt idx="2">
                  <c:v>0.22619999999999998</c:v>
                </c:pt>
                <c:pt idx="3">
                  <c:v>0.21359999999999998</c:v>
                </c:pt>
                <c:pt idx="4">
                  <c:v>0.23039999999999999</c:v>
                </c:pt>
                <c:pt idx="5">
                  <c:v>0.27643679999999998</c:v>
                </c:pt>
                <c:pt idx="6">
                  <c:v>0.23099999999999998</c:v>
                </c:pt>
                <c:pt idx="7">
                  <c:v>0.2361</c:v>
                </c:pt>
                <c:pt idx="8">
                  <c:v>0.24276175549537768</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0.73199999999999998</c:v>
                </c:pt>
                <c:pt idx="1">
                  <c:v>1.5249999999999999</c:v>
                </c:pt>
                <c:pt idx="2">
                  <c:v>2.2789999999999999</c:v>
                </c:pt>
                <c:pt idx="3">
                  <c:v>2.9909999999999997</c:v>
                </c:pt>
                <c:pt idx="4">
                  <c:v>3.7589999999999995</c:v>
                </c:pt>
                <c:pt idx="5">
                  <c:v>4.6804559999999995</c:v>
                </c:pt>
                <c:pt idx="6">
                  <c:v>5.4504559999999991</c:v>
                </c:pt>
                <c:pt idx="7">
                  <c:v>6.237455999999999</c:v>
                </c:pt>
                <c:pt idx="8">
                  <c:v>7.0466618516512582</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1.4070000000000001E-2</c:v>
                </c:pt>
                <c:pt idx="1">
                  <c:v>1.746E-2</c:v>
                </c:pt>
                <c:pt idx="2">
                  <c:v>3.5459999999999998E-2</c:v>
                </c:pt>
                <c:pt idx="3">
                  <c:v>2.4299999999999999E-2</c:v>
                </c:pt>
                <c:pt idx="4">
                  <c:v>2.019E-2</c:v>
                </c:pt>
                <c:pt idx="5">
                  <c:v>3.0299999999999997E-2</c:v>
                </c:pt>
                <c:pt idx="6">
                  <c:v>2.1239999999999998E-2</c:v>
                </c:pt>
                <c:pt idx="7">
                  <c:v>2.1239999999999998E-2</c:v>
                </c:pt>
                <c:pt idx="8">
                  <c:v>3.5490000000000001E-2</c:v>
                </c:pt>
                <c:pt idx="9">
                  <c:v>2.4989999999999998E-2</c:v>
                </c:pt>
                <c:pt idx="10">
                  <c:v>2.1090000000000001E-2</c:v>
                </c:pt>
                <c:pt idx="11">
                  <c:v>3.4109999999999994E-2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1.4070000000000001E-2</c:v>
                </c:pt>
                <c:pt idx="1">
                  <c:v>0.03</c:v>
                </c:pt>
                <c:pt idx="2">
                  <c:v>2.5920000000000002E-2</c:v>
                </c:pt>
                <c:pt idx="3">
                  <c:v>1.5779999999999999E-2</c:v>
                </c:pt>
                <c:pt idx="4">
                  <c:v>2.019E-2</c:v>
                </c:pt>
                <c:pt idx="5">
                  <c:v>3.0299999999999997E-2</c:v>
                </c:pt>
                <c:pt idx="6">
                  <c:v>2.1239999999999998E-2</c:v>
                </c:pt>
                <c:pt idx="7">
                  <c:v>2.3523239721632741E-2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4.6900000000000004E-2</c:v>
                </c:pt>
                <c:pt idx="1">
                  <c:v>0.1469</c:v>
                </c:pt>
                <c:pt idx="2">
                  <c:v>0.23330000000000001</c:v>
                </c:pt>
                <c:pt idx="3">
                  <c:v>0.28589999999999999</c:v>
                </c:pt>
                <c:pt idx="4">
                  <c:v>0.35319999999999996</c:v>
                </c:pt>
                <c:pt idx="5">
                  <c:v>0.45419999999999994</c:v>
                </c:pt>
                <c:pt idx="6">
                  <c:v>0.52499999999999991</c:v>
                </c:pt>
                <c:pt idx="7">
                  <c:v>0.60341079907210904</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22411</xdr:colOff>
      <xdr:row>39</xdr:row>
      <xdr:rowOff>6722</xdr:rowOff>
    </xdr:from>
    <xdr:to>
      <xdr:col>8</xdr:col>
      <xdr:colOff>1075764</xdr:colOff>
      <xdr:row>44</xdr:row>
      <xdr:rowOff>4483</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xdr:colOff>
      <xdr:row>39</xdr:row>
      <xdr:rowOff>59531</xdr:rowOff>
    </xdr:from>
    <xdr:to>
      <xdr:col>8</xdr:col>
      <xdr:colOff>1654969</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6640625" defaultRowHeight="15" x14ac:dyDescent="0.2"/>
  <cols>
    <col min="1" max="1" width="15.6640625" style="52" customWidth="1"/>
    <col min="2" max="2" width="23.1640625" style="52" customWidth="1"/>
    <col min="3" max="3" width="16.1640625" style="52" customWidth="1"/>
    <col min="4" max="4" width="16.5" style="53" customWidth="1"/>
    <col min="5" max="5" width="17.5" style="52" customWidth="1"/>
    <col min="6" max="6" width="23.5" style="52" customWidth="1"/>
    <col min="7" max="7" width="17.1640625" style="52" customWidth="1"/>
    <col min="8" max="8" width="16.5" style="52" customWidth="1"/>
    <col min="9" max="9" width="18.1640625" style="52" customWidth="1"/>
    <col min="10" max="10" width="13.6640625" style="52" customWidth="1"/>
    <col min="11" max="11" width="13.6640625" style="60" customWidth="1"/>
    <col min="12" max="17" width="13.6640625" style="52" customWidth="1"/>
    <col min="18" max="18" width="11.6640625" style="52" customWidth="1"/>
    <col min="19" max="19" width="9.6640625" style="52" customWidth="1"/>
    <col min="20" max="20" width="10.33203125" style="52" customWidth="1"/>
    <col min="21" max="21" width="14.1640625" style="52" customWidth="1"/>
    <col min="22" max="22" width="11.6640625" style="52" customWidth="1"/>
    <col min="23" max="23" width="12.5" style="52" customWidth="1"/>
    <col min="24" max="26" width="14.6640625" style="52" customWidth="1"/>
    <col min="27" max="27" width="16.5" style="67" customWidth="1"/>
    <col min="28" max="28" width="14.6640625" style="52" customWidth="1"/>
    <col min="29" max="29" width="14.5" style="52" customWidth="1"/>
    <col min="30" max="30" width="89.6640625" style="52" customWidth="1"/>
    <col min="31" max="31" width="79.5" style="52" customWidth="1"/>
    <col min="32" max="32" width="87.5" style="52" customWidth="1"/>
    <col min="33" max="16384" width="10.6640625" style="52"/>
  </cols>
  <sheetData>
    <row r="2" spans="1:67" s="69" customFormat="1" ht="45.75" customHeight="1" x14ac:dyDescent="0.2">
      <c r="A2" s="298"/>
      <c r="B2" s="298"/>
      <c r="C2" s="295" t="s">
        <v>0</v>
      </c>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325"/>
    </row>
    <row r="3" spans="1:67" s="69" customFormat="1" ht="45.75" customHeight="1" x14ac:dyDescent="0.2">
      <c r="A3" s="298"/>
      <c r="B3" s="298"/>
      <c r="C3" s="295" t="s">
        <v>1</v>
      </c>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326"/>
    </row>
    <row r="4" spans="1:67" s="69" customFormat="1" ht="45.75" customHeight="1" x14ac:dyDescent="0.2">
      <c r="A4" s="298"/>
      <c r="B4" s="298"/>
      <c r="C4" s="295" t="s">
        <v>2</v>
      </c>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326"/>
    </row>
    <row r="5" spans="1:67" s="69" customFormat="1" ht="45.75" customHeight="1" x14ac:dyDescent="0.2">
      <c r="A5" s="298"/>
      <c r="B5" s="298"/>
      <c r="C5" s="305" t="s">
        <v>3</v>
      </c>
      <c r="D5" s="305"/>
      <c r="E5" s="305"/>
      <c r="F5" s="305"/>
      <c r="G5" s="305"/>
      <c r="H5" s="305"/>
      <c r="I5" s="305"/>
      <c r="J5" s="305"/>
      <c r="K5" s="305"/>
      <c r="L5" s="305"/>
      <c r="M5" s="305"/>
      <c r="N5" s="305"/>
      <c r="O5" s="305"/>
      <c r="P5" s="305"/>
      <c r="Q5" s="305"/>
      <c r="R5" s="323" t="s">
        <v>4</v>
      </c>
      <c r="S5" s="323"/>
      <c r="T5" s="323"/>
      <c r="U5" s="323"/>
      <c r="V5" s="323"/>
      <c r="W5" s="323"/>
      <c r="X5" s="323"/>
      <c r="Y5" s="323"/>
      <c r="Z5" s="323"/>
      <c r="AA5" s="323"/>
      <c r="AB5" s="323"/>
      <c r="AC5" s="323"/>
      <c r="AD5" s="323"/>
      <c r="AE5" s="323"/>
      <c r="AF5" s="327"/>
    </row>
    <row r="6" spans="1:67" s="70" customFormat="1" ht="30.75" customHeight="1" x14ac:dyDescent="0.2">
      <c r="D6" s="71"/>
      <c r="K6" s="69"/>
      <c r="AA6" s="72"/>
    </row>
    <row r="7" spans="1:67" s="70" customFormat="1" ht="42" customHeight="1" x14ac:dyDescent="0.2">
      <c r="B7" s="177" t="s">
        <v>5</v>
      </c>
      <c r="C7" s="297" t="e">
        <f>+#REF!</f>
        <v>#REF!</v>
      </c>
      <c r="D7" s="297"/>
      <c r="E7" s="297"/>
      <c r="F7" s="297"/>
      <c r="G7" s="297"/>
      <c r="K7" s="69"/>
      <c r="AA7" s="72"/>
    </row>
    <row r="8" spans="1:67" s="70" customFormat="1" ht="42" customHeight="1" x14ac:dyDescent="0.2">
      <c r="B8" s="177" t="s">
        <v>6</v>
      </c>
      <c r="C8" s="297" t="e">
        <f>+#REF!</f>
        <v>#REF!</v>
      </c>
      <c r="D8" s="297"/>
      <c r="E8" s="297"/>
      <c r="F8" s="297"/>
      <c r="G8" s="297"/>
      <c r="K8" s="69"/>
      <c r="AA8" s="72"/>
    </row>
    <row r="9" spans="1:67" s="70" customFormat="1" ht="42" customHeight="1" x14ac:dyDescent="0.2">
      <c r="B9" s="178" t="s">
        <v>7</v>
      </c>
      <c r="C9" s="297" t="e">
        <f>+#REF!</f>
        <v>#REF!</v>
      </c>
      <c r="D9" s="297"/>
      <c r="E9" s="297"/>
      <c r="F9" s="297"/>
      <c r="G9" s="297"/>
      <c r="K9" s="69"/>
      <c r="Q9" s="73"/>
      <c r="R9" s="74"/>
      <c r="AA9" s="72"/>
    </row>
    <row r="10" spans="1:67" s="56" customFormat="1" ht="24.75" customHeight="1" x14ac:dyDescent="0.15">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15">
      <c r="A11" s="314" t="s">
        <v>8</v>
      </c>
      <c r="B11" s="315"/>
      <c r="C11" s="315"/>
      <c r="D11" s="315"/>
      <c r="E11" s="315"/>
      <c r="F11" s="315"/>
      <c r="G11" s="315"/>
      <c r="H11" s="316"/>
      <c r="I11" s="329" t="s">
        <v>9</v>
      </c>
      <c r="J11" s="330"/>
      <c r="K11" s="330"/>
      <c r="L11" s="330"/>
      <c r="M11" s="330"/>
      <c r="N11" s="331"/>
      <c r="O11" s="324" t="s">
        <v>10</v>
      </c>
      <c r="P11" s="324"/>
      <c r="Q11" s="324"/>
      <c r="R11" s="324"/>
      <c r="S11" s="324"/>
      <c r="T11" s="324"/>
      <c r="U11" s="324"/>
      <c r="V11" s="324"/>
      <c r="W11" s="324"/>
      <c r="X11" s="324"/>
      <c r="Y11" s="324"/>
      <c r="Z11" s="324"/>
      <c r="AA11" s="324"/>
      <c r="AB11" s="324"/>
      <c r="AC11" s="324"/>
      <c r="AD11" s="314" t="s">
        <v>11</v>
      </c>
      <c r="AE11" s="315"/>
      <c r="AF11" s="316"/>
    </row>
    <row r="12" spans="1:67" s="57" customFormat="1" ht="56.25" customHeight="1" x14ac:dyDescent="0.15">
      <c r="A12" s="179" t="s">
        <v>12</v>
      </c>
      <c r="B12" s="179" t="s">
        <v>13</v>
      </c>
      <c r="C12" s="179" t="s">
        <v>14</v>
      </c>
      <c r="D12" s="179" t="s">
        <v>15</v>
      </c>
      <c r="E12" s="179" t="s">
        <v>16</v>
      </c>
      <c r="F12" s="179" t="s">
        <v>17</v>
      </c>
      <c r="G12" s="179" t="s">
        <v>18</v>
      </c>
      <c r="H12" s="179" t="s">
        <v>19</v>
      </c>
      <c r="I12" s="180" t="s">
        <v>20</v>
      </c>
      <c r="J12" s="180">
        <v>2016</v>
      </c>
      <c r="K12" s="180">
        <v>2017</v>
      </c>
      <c r="L12" s="180">
        <v>2018</v>
      </c>
      <c r="M12" s="180">
        <v>2019</v>
      </c>
      <c r="N12" s="180">
        <v>2020</v>
      </c>
      <c r="O12" s="181" t="s">
        <v>21</v>
      </c>
      <c r="P12" s="181" t="s">
        <v>22</v>
      </c>
      <c r="Q12" s="181" t="s">
        <v>23</v>
      </c>
      <c r="R12" s="181" t="s">
        <v>24</v>
      </c>
      <c r="S12" s="181" t="s">
        <v>25</v>
      </c>
      <c r="T12" s="181" t="s">
        <v>26</v>
      </c>
      <c r="U12" s="181" t="s">
        <v>27</v>
      </c>
      <c r="V12" s="181" t="s">
        <v>28</v>
      </c>
      <c r="W12" s="181" t="s">
        <v>29</v>
      </c>
      <c r="X12" s="181" t="s">
        <v>30</v>
      </c>
      <c r="Y12" s="181" t="s">
        <v>31</v>
      </c>
      <c r="Z12" s="181" t="s">
        <v>32</v>
      </c>
      <c r="AA12" s="181" t="s">
        <v>33</v>
      </c>
      <c r="AB12" s="182" t="s">
        <v>34</v>
      </c>
      <c r="AC12" s="181" t="s">
        <v>35</v>
      </c>
      <c r="AD12" s="183" t="s">
        <v>36</v>
      </c>
      <c r="AE12" s="183" t="s">
        <v>37</v>
      </c>
      <c r="AF12" s="183" t="s">
        <v>38</v>
      </c>
    </row>
    <row r="13" spans="1:67" s="59" customFormat="1" ht="84.75" customHeight="1" x14ac:dyDescent="0.2">
      <c r="A13" s="296" t="s">
        <v>39</v>
      </c>
      <c r="B13" s="296" t="s">
        <v>40</v>
      </c>
      <c r="C13" s="296">
        <v>224</v>
      </c>
      <c r="D13" s="296" t="s">
        <v>41</v>
      </c>
      <c r="E13" s="296">
        <v>171</v>
      </c>
      <c r="F13" s="328" t="s">
        <v>42</v>
      </c>
      <c r="G13" s="296" t="s">
        <v>43</v>
      </c>
      <c r="H13" s="296" t="s">
        <v>44</v>
      </c>
      <c r="I13" s="306" t="e">
        <f>SUM(J13:N14)</f>
        <v>#REF!</v>
      </c>
      <c r="J13" s="303" t="e">
        <f>+#REF!</f>
        <v>#REF!</v>
      </c>
      <c r="K13" s="332" t="e">
        <f>+#REF!</f>
        <v>#REF!</v>
      </c>
      <c r="L13" s="301" t="e">
        <f>+#REF!</f>
        <v>#REF!</v>
      </c>
      <c r="M13" s="303" t="e">
        <f>+#REF!</f>
        <v>#REF!</v>
      </c>
      <c r="N13" s="303" t="e">
        <f>+#REF!</f>
        <v>#REF!</v>
      </c>
      <c r="O13" s="307" t="e">
        <f>+#REF!</f>
        <v>#REF!</v>
      </c>
      <c r="P13" s="307">
        <v>6.45</v>
      </c>
      <c r="Q13" s="307">
        <v>31.03</v>
      </c>
      <c r="R13" s="307"/>
      <c r="S13" s="307" t="e">
        <f>+#REF!</f>
        <v>#REF!</v>
      </c>
      <c r="T13" s="307" t="e">
        <f>+#REF!</f>
        <v>#REF!</v>
      </c>
      <c r="U13" s="307" t="e">
        <f>+#REF!</f>
        <v>#REF!</v>
      </c>
      <c r="V13" s="307" t="e">
        <f>+#REF!</f>
        <v>#REF!</v>
      </c>
      <c r="W13" s="307" t="e">
        <f>+#REF!</f>
        <v>#REF!</v>
      </c>
      <c r="X13" s="307" t="e">
        <f>+#REF!</f>
        <v>#REF!</v>
      </c>
      <c r="Y13" s="307" t="e">
        <f>+#REF!</f>
        <v>#REF!</v>
      </c>
      <c r="Z13" s="307" t="e">
        <f>+#REF!</f>
        <v>#REF!</v>
      </c>
      <c r="AA13" s="312" t="e">
        <f>SUM(O13:Z14)</f>
        <v>#REF!</v>
      </c>
      <c r="AB13" s="309" t="e">
        <f>+AA13/K13</f>
        <v>#REF!</v>
      </c>
      <c r="AC13" s="309" t="e">
        <f>+(J13+AA13)/I13</f>
        <v>#REF!</v>
      </c>
      <c r="AD13" s="310" t="s">
        <v>45</v>
      </c>
      <c r="AE13" s="299" t="s">
        <v>46</v>
      </c>
      <c r="AF13" s="310"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2">
      <c r="A14" s="296"/>
      <c r="B14" s="296"/>
      <c r="C14" s="296"/>
      <c r="D14" s="296"/>
      <c r="E14" s="296"/>
      <c r="F14" s="328"/>
      <c r="G14" s="296"/>
      <c r="H14" s="296"/>
      <c r="I14" s="306"/>
      <c r="J14" s="304"/>
      <c r="K14" s="333"/>
      <c r="L14" s="302"/>
      <c r="M14" s="304"/>
      <c r="N14" s="304"/>
      <c r="O14" s="308"/>
      <c r="P14" s="308"/>
      <c r="Q14" s="308"/>
      <c r="R14" s="308"/>
      <c r="S14" s="308"/>
      <c r="T14" s="308"/>
      <c r="U14" s="308"/>
      <c r="V14" s="308"/>
      <c r="W14" s="308"/>
      <c r="X14" s="308"/>
      <c r="Y14" s="308"/>
      <c r="Z14" s="308"/>
      <c r="AA14" s="313"/>
      <c r="AB14" s="309"/>
      <c r="AC14" s="309"/>
      <c r="AD14" s="311"/>
      <c r="AE14" s="300"/>
      <c r="AF14" s="311"/>
    </row>
    <row r="15" spans="1:67" ht="89.25" customHeight="1" x14ac:dyDescent="0.2">
      <c r="A15" s="296" t="s">
        <v>39</v>
      </c>
      <c r="B15" s="296" t="s">
        <v>48</v>
      </c>
      <c r="C15" s="296">
        <v>223</v>
      </c>
      <c r="D15" s="296" t="s">
        <v>49</v>
      </c>
      <c r="E15" s="296">
        <v>170</v>
      </c>
      <c r="F15" s="328" t="s">
        <v>50</v>
      </c>
      <c r="G15" s="296" t="s">
        <v>43</v>
      </c>
      <c r="H15" s="296" t="s">
        <v>44</v>
      </c>
      <c r="I15" s="306" t="e">
        <f>SUM(J15:N16)</f>
        <v>#REF!</v>
      </c>
      <c r="J15" s="321" t="e">
        <f>+#REF!</f>
        <v>#REF!</v>
      </c>
      <c r="K15" s="317" t="e">
        <f>+#REF!</f>
        <v>#REF!</v>
      </c>
      <c r="L15" s="319" t="e">
        <f>+#REF!</f>
        <v>#REF!</v>
      </c>
      <c r="M15" s="321" t="e">
        <f>+#REF!</f>
        <v>#REF!</v>
      </c>
      <c r="N15" s="321" t="e">
        <f>+#REF!</f>
        <v>#REF!</v>
      </c>
      <c r="O15" s="307">
        <v>53</v>
      </c>
      <c r="P15" s="307">
        <v>712</v>
      </c>
      <c r="Q15" s="307">
        <v>881</v>
      </c>
      <c r="R15" s="307"/>
      <c r="S15" s="307" t="e">
        <f>+#REF!</f>
        <v>#REF!</v>
      </c>
      <c r="T15" s="307" t="e">
        <f>+#REF!</f>
        <v>#REF!</v>
      </c>
      <c r="U15" s="307" t="e">
        <f>+#REF!</f>
        <v>#REF!</v>
      </c>
      <c r="V15" s="307" t="e">
        <f>+#REF!</f>
        <v>#REF!</v>
      </c>
      <c r="W15" s="307" t="e">
        <f>+#REF!</f>
        <v>#REF!</v>
      </c>
      <c r="X15" s="307" t="e">
        <f>+#REF!</f>
        <v>#REF!</v>
      </c>
      <c r="Y15" s="307" t="e">
        <f>+#REF!</f>
        <v>#REF!</v>
      </c>
      <c r="Z15" s="307" t="e">
        <f>+#REF!</f>
        <v>#REF!</v>
      </c>
      <c r="AA15" s="312" t="e">
        <f>SUM(O15:Z16)</f>
        <v>#REF!</v>
      </c>
      <c r="AB15" s="309" t="e">
        <f>+AA15/K15</f>
        <v>#REF!</v>
      </c>
      <c r="AC15" s="309" t="e">
        <f>+(J15+AA15)/I15</f>
        <v>#REF!</v>
      </c>
      <c r="AD15" s="310" t="s">
        <v>51</v>
      </c>
      <c r="AE15" s="299" t="s">
        <v>46</v>
      </c>
      <c r="AF15" s="310" t="s">
        <v>52</v>
      </c>
    </row>
    <row r="16" spans="1:67" ht="140.25" customHeight="1" x14ac:dyDescent="0.2">
      <c r="A16" s="296"/>
      <c r="B16" s="296"/>
      <c r="C16" s="296"/>
      <c r="D16" s="296"/>
      <c r="E16" s="296"/>
      <c r="F16" s="328"/>
      <c r="G16" s="296"/>
      <c r="H16" s="296"/>
      <c r="I16" s="306"/>
      <c r="J16" s="322"/>
      <c r="K16" s="318"/>
      <c r="L16" s="320"/>
      <c r="M16" s="322"/>
      <c r="N16" s="322"/>
      <c r="O16" s="308"/>
      <c r="P16" s="308"/>
      <c r="Q16" s="308"/>
      <c r="R16" s="308"/>
      <c r="S16" s="308"/>
      <c r="T16" s="308"/>
      <c r="U16" s="308"/>
      <c r="V16" s="308"/>
      <c r="W16" s="308"/>
      <c r="X16" s="308"/>
      <c r="Y16" s="308"/>
      <c r="Z16" s="308"/>
      <c r="AA16" s="313"/>
      <c r="AB16" s="309"/>
      <c r="AC16" s="309"/>
      <c r="AD16" s="311"/>
      <c r="AE16" s="300"/>
      <c r="AF16" s="311"/>
    </row>
    <row r="17" spans="1:32" ht="62.25" customHeight="1" x14ac:dyDescent="0.2">
      <c r="A17" s="296" t="s">
        <v>39</v>
      </c>
      <c r="B17" s="352" t="s">
        <v>53</v>
      </c>
      <c r="C17" s="296">
        <v>231</v>
      </c>
      <c r="D17" s="296" t="s">
        <v>54</v>
      </c>
      <c r="E17" s="296">
        <v>178</v>
      </c>
      <c r="F17" s="328" t="s">
        <v>55</v>
      </c>
      <c r="G17" s="296" t="s">
        <v>56</v>
      </c>
      <c r="H17" s="296" t="s">
        <v>44</v>
      </c>
      <c r="I17" s="334">
        <f>SUM(J17:N18)</f>
        <v>1</v>
      </c>
      <c r="J17" s="363">
        <v>0.05</v>
      </c>
      <c r="K17" s="350">
        <v>0.28999999999999998</v>
      </c>
      <c r="L17" s="353">
        <v>0.25</v>
      </c>
      <c r="M17" s="350">
        <v>0.4</v>
      </c>
      <c r="N17" s="350">
        <v>0.01</v>
      </c>
      <c r="O17" s="355">
        <v>0.19</v>
      </c>
      <c r="P17" s="356"/>
      <c r="Q17" s="356"/>
      <c r="R17" s="359">
        <v>0</v>
      </c>
      <c r="S17" s="360"/>
      <c r="T17" s="360"/>
      <c r="U17" s="338">
        <v>0</v>
      </c>
      <c r="V17" s="339"/>
      <c r="W17" s="339"/>
      <c r="X17" s="338">
        <v>0</v>
      </c>
      <c r="Y17" s="339"/>
      <c r="Z17" s="339"/>
      <c r="AA17" s="342">
        <f>+R17+O17+U17+X17</f>
        <v>0.19</v>
      </c>
      <c r="AB17" s="309">
        <f>+AA17/K17</f>
        <v>0.65517241379310354</v>
      </c>
      <c r="AC17" s="309">
        <f>+(J17+AA17)/I17</f>
        <v>0.24</v>
      </c>
      <c r="AD17" s="336" t="s">
        <v>57</v>
      </c>
      <c r="AE17" s="299" t="s">
        <v>46</v>
      </c>
      <c r="AF17" s="336" t="s">
        <v>58</v>
      </c>
    </row>
    <row r="18" spans="1:32" ht="200.25" customHeight="1" x14ac:dyDescent="0.2">
      <c r="A18" s="296"/>
      <c r="B18" s="352"/>
      <c r="C18" s="296"/>
      <c r="D18" s="296"/>
      <c r="E18" s="296"/>
      <c r="F18" s="328"/>
      <c r="G18" s="296"/>
      <c r="H18" s="296"/>
      <c r="I18" s="335"/>
      <c r="J18" s="364"/>
      <c r="K18" s="351"/>
      <c r="L18" s="354"/>
      <c r="M18" s="351"/>
      <c r="N18" s="351"/>
      <c r="O18" s="357"/>
      <c r="P18" s="358"/>
      <c r="Q18" s="358"/>
      <c r="R18" s="361"/>
      <c r="S18" s="362"/>
      <c r="T18" s="362"/>
      <c r="U18" s="340"/>
      <c r="V18" s="341"/>
      <c r="W18" s="341"/>
      <c r="X18" s="340"/>
      <c r="Y18" s="341"/>
      <c r="Z18" s="341"/>
      <c r="AA18" s="343"/>
      <c r="AB18" s="309"/>
      <c r="AC18" s="309"/>
      <c r="AD18" s="337"/>
      <c r="AE18" s="300"/>
      <c r="AF18" s="337"/>
    </row>
    <row r="19" spans="1:32" ht="62.25" customHeight="1" x14ac:dyDescent="0.2">
      <c r="A19" s="296" t="s">
        <v>39</v>
      </c>
      <c r="B19" s="352" t="s">
        <v>59</v>
      </c>
      <c r="C19" s="296">
        <v>232</v>
      </c>
      <c r="D19" s="296" t="s">
        <v>60</v>
      </c>
      <c r="E19" s="296">
        <v>179</v>
      </c>
      <c r="F19" s="328" t="s">
        <v>61</v>
      </c>
      <c r="G19" s="296" t="s">
        <v>56</v>
      </c>
      <c r="H19" s="296" t="s">
        <v>44</v>
      </c>
      <c r="I19" s="334">
        <f>SUM(J19:N20)</f>
        <v>1</v>
      </c>
      <c r="J19" s="363">
        <v>0.01</v>
      </c>
      <c r="K19" s="350">
        <v>0.15</v>
      </c>
      <c r="L19" s="353">
        <v>0.42</v>
      </c>
      <c r="M19" s="350">
        <v>0.42</v>
      </c>
      <c r="N19" s="350">
        <v>0</v>
      </c>
      <c r="O19" s="346">
        <v>0.35</v>
      </c>
      <c r="P19" s="347"/>
      <c r="Q19" s="347"/>
      <c r="R19" s="355">
        <v>0</v>
      </c>
      <c r="S19" s="356"/>
      <c r="T19" s="356"/>
      <c r="U19" s="346">
        <v>0</v>
      </c>
      <c r="V19" s="347"/>
      <c r="W19" s="347"/>
      <c r="X19" s="346">
        <v>0</v>
      </c>
      <c r="Y19" s="347"/>
      <c r="Z19" s="347"/>
      <c r="AA19" s="344">
        <f>+R19+O19+U19+X19</f>
        <v>0.35</v>
      </c>
      <c r="AB19" s="309">
        <f>+AA19/K19</f>
        <v>2.3333333333333335</v>
      </c>
      <c r="AC19" s="309">
        <f>+(J19+AA19)/I19</f>
        <v>0.36</v>
      </c>
      <c r="AD19" s="336" t="s">
        <v>62</v>
      </c>
      <c r="AE19" s="299" t="s">
        <v>46</v>
      </c>
      <c r="AF19" s="336" t="s">
        <v>58</v>
      </c>
    </row>
    <row r="20" spans="1:32" ht="298.5" customHeight="1" x14ac:dyDescent="0.2">
      <c r="A20" s="296"/>
      <c r="B20" s="352"/>
      <c r="C20" s="296"/>
      <c r="D20" s="296"/>
      <c r="E20" s="296"/>
      <c r="F20" s="328"/>
      <c r="G20" s="296"/>
      <c r="H20" s="296"/>
      <c r="I20" s="335"/>
      <c r="J20" s="364"/>
      <c r="K20" s="351"/>
      <c r="L20" s="354"/>
      <c r="M20" s="351"/>
      <c r="N20" s="351"/>
      <c r="O20" s="348"/>
      <c r="P20" s="349"/>
      <c r="Q20" s="349"/>
      <c r="R20" s="357"/>
      <c r="S20" s="358"/>
      <c r="T20" s="358"/>
      <c r="U20" s="348"/>
      <c r="V20" s="349"/>
      <c r="W20" s="349"/>
      <c r="X20" s="348"/>
      <c r="Y20" s="349"/>
      <c r="Z20" s="349"/>
      <c r="AA20" s="345"/>
      <c r="AB20" s="309"/>
      <c r="AC20" s="309"/>
      <c r="AD20" s="337"/>
      <c r="AE20" s="300"/>
      <c r="AF20" s="337"/>
    </row>
    <row r="21" spans="1:32" ht="62.25" customHeight="1" x14ac:dyDescent="0.2">
      <c r="A21" s="296" t="s">
        <v>39</v>
      </c>
      <c r="B21" s="352" t="s">
        <v>63</v>
      </c>
      <c r="C21" s="296">
        <v>233</v>
      </c>
      <c r="D21" s="296" t="s">
        <v>64</v>
      </c>
      <c r="E21" s="296">
        <v>180</v>
      </c>
      <c r="F21" s="328" t="s">
        <v>65</v>
      </c>
      <c r="G21" s="296" t="s">
        <v>56</v>
      </c>
      <c r="H21" s="296" t="s">
        <v>44</v>
      </c>
      <c r="I21" s="334">
        <f>SUM(J21:N22)</f>
        <v>1</v>
      </c>
      <c r="J21" s="363">
        <v>0.01</v>
      </c>
      <c r="K21" s="350">
        <v>0.1</v>
      </c>
      <c r="L21" s="353">
        <v>0.3</v>
      </c>
      <c r="M21" s="350">
        <v>0.55000000000000004</v>
      </c>
      <c r="N21" s="350">
        <v>0.04</v>
      </c>
      <c r="O21" s="346">
        <v>4.4999999999999998E-2</v>
      </c>
      <c r="P21" s="347"/>
      <c r="Q21" s="347"/>
      <c r="R21" s="346">
        <v>0</v>
      </c>
      <c r="S21" s="347"/>
      <c r="T21" s="347"/>
      <c r="U21" s="346">
        <v>0</v>
      </c>
      <c r="V21" s="347"/>
      <c r="W21" s="347"/>
      <c r="X21" s="346">
        <v>0</v>
      </c>
      <c r="Y21" s="347"/>
      <c r="Z21" s="347"/>
      <c r="AA21" s="344">
        <f>+R21+O21+U21+X21</f>
        <v>4.4999999999999998E-2</v>
      </c>
      <c r="AB21" s="309">
        <f>+AA21/K21</f>
        <v>0.44999999999999996</v>
      </c>
      <c r="AC21" s="309">
        <f>+(J21+AA21)/I21</f>
        <v>5.5E-2</v>
      </c>
      <c r="AD21" s="336" t="s">
        <v>66</v>
      </c>
      <c r="AE21" s="299" t="s">
        <v>46</v>
      </c>
      <c r="AF21" s="336" t="s">
        <v>58</v>
      </c>
    </row>
    <row r="22" spans="1:32" ht="124.5" customHeight="1" x14ac:dyDescent="0.2">
      <c r="A22" s="296"/>
      <c r="B22" s="352"/>
      <c r="C22" s="296"/>
      <c r="D22" s="296"/>
      <c r="E22" s="296"/>
      <c r="F22" s="328"/>
      <c r="G22" s="296"/>
      <c r="H22" s="296"/>
      <c r="I22" s="335"/>
      <c r="J22" s="364"/>
      <c r="K22" s="351"/>
      <c r="L22" s="354"/>
      <c r="M22" s="351"/>
      <c r="N22" s="351"/>
      <c r="O22" s="348"/>
      <c r="P22" s="349"/>
      <c r="Q22" s="349"/>
      <c r="R22" s="348"/>
      <c r="S22" s="349"/>
      <c r="T22" s="349"/>
      <c r="U22" s="348"/>
      <c r="V22" s="349"/>
      <c r="W22" s="349"/>
      <c r="X22" s="348"/>
      <c r="Y22" s="349"/>
      <c r="Z22" s="349"/>
      <c r="AA22" s="345"/>
      <c r="AB22" s="309"/>
      <c r="AC22" s="309"/>
      <c r="AD22" s="337"/>
      <c r="AE22" s="300"/>
      <c r="AF22" s="337"/>
    </row>
  </sheetData>
  <mergeCells count="150">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 ref="M21:M22"/>
    <mergeCell ref="N21:N22"/>
    <mergeCell ref="O17:Q18"/>
    <mergeCell ref="R17:T18"/>
    <mergeCell ref="L21:L22"/>
    <mergeCell ref="I19:I20"/>
    <mergeCell ref="J19:J20"/>
    <mergeCell ref="K19:K20"/>
    <mergeCell ref="R19:T20"/>
    <mergeCell ref="J17:J18"/>
    <mergeCell ref="K17:K18"/>
    <mergeCell ref="L17:L18"/>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AF17:AF18"/>
    <mergeCell ref="AB17:AB18"/>
    <mergeCell ref="AC17:AC18"/>
    <mergeCell ref="AD17:AD18"/>
    <mergeCell ref="X17:Z18"/>
    <mergeCell ref="AA17:AA18"/>
    <mergeCell ref="AE17:AE18"/>
    <mergeCell ref="U17:W18"/>
    <mergeCell ref="AF21:AF22"/>
    <mergeCell ref="N15:N16"/>
    <mergeCell ref="O15:O16"/>
    <mergeCell ref="P15:P16"/>
    <mergeCell ref="Q15:Q16"/>
    <mergeCell ref="R15:R16"/>
    <mergeCell ref="S15:S16"/>
    <mergeCell ref="E15:E16"/>
    <mergeCell ref="C17:C18"/>
    <mergeCell ref="D17:D18"/>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opLeftCell="B1" zoomScale="85" zoomScaleNormal="85" zoomScaleSheetLayoutView="50" zoomScalePageLayoutView="85" workbookViewId="0">
      <selection activeCell="E37" sqref="E37"/>
    </sheetView>
  </sheetViews>
  <sheetFormatPr baseColWidth="10" defaultColWidth="10.6640625" defaultRowHeight="13" x14ac:dyDescent="0.15"/>
  <cols>
    <col min="1" max="1" width="1" style="83" customWidth="1"/>
    <col min="2" max="2" width="25.5" style="114" customWidth="1"/>
    <col min="3" max="3" width="14.5" style="83" customWidth="1"/>
    <col min="4" max="4" width="14.6640625" style="83" customWidth="1"/>
    <col min="5" max="5" width="16.5" style="83" customWidth="1"/>
    <col min="6" max="6" width="25" style="83" customWidth="1"/>
    <col min="7" max="7" width="22" style="114" customWidth="1"/>
    <col min="8" max="9" width="17.6640625" style="83" customWidth="1"/>
    <col min="10" max="11" width="22.5" style="83" customWidth="1"/>
    <col min="12" max="24" width="10.6640625" style="81"/>
    <col min="25" max="16384" width="10.6640625" style="83"/>
  </cols>
  <sheetData>
    <row r="1" spans="2:14" ht="37.5" customHeight="1" x14ac:dyDescent="0.15">
      <c r="B1" s="499"/>
      <c r="C1" s="502" t="s">
        <v>1</v>
      </c>
      <c r="D1" s="502"/>
      <c r="E1" s="502"/>
      <c r="F1" s="502"/>
      <c r="G1" s="502"/>
      <c r="H1" s="502"/>
      <c r="I1" s="503"/>
      <c r="J1" s="80"/>
      <c r="K1" s="80"/>
      <c r="M1" s="82" t="s">
        <v>67</v>
      </c>
    </row>
    <row r="2" spans="2:14" ht="37.5" customHeight="1" x14ac:dyDescent="0.15">
      <c r="B2" s="500"/>
      <c r="C2" s="506" t="s">
        <v>218</v>
      </c>
      <c r="D2" s="506"/>
      <c r="E2" s="506"/>
      <c r="F2" s="506"/>
      <c r="G2" s="506"/>
      <c r="H2" s="506"/>
      <c r="I2" s="504"/>
      <c r="J2" s="80"/>
      <c r="K2" s="80"/>
      <c r="M2" s="82" t="s">
        <v>68</v>
      </c>
    </row>
    <row r="3" spans="2:14" ht="37.5" customHeight="1" thickBot="1" x14ac:dyDescent="0.2">
      <c r="B3" s="501"/>
      <c r="C3" s="507" t="s">
        <v>219</v>
      </c>
      <c r="D3" s="507"/>
      <c r="E3" s="507"/>
      <c r="F3" s="507" t="s">
        <v>220</v>
      </c>
      <c r="G3" s="507"/>
      <c r="H3" s="507"/>
      <c r="I3" s="505"/>
      <c r="J3" s="80"/>
      <c r="K3" s="80"/>
      <c r="M3" s="82" t="s">
        <v>70</v>
      </c>
    </row>
    <row r="4" spans="2:14" ht="23.25" customHeight="1" x14ac:dyDescent="0.15">
      <c r="B4" s="508" t="s">
        <v>221</v>
      </c>
      <c r="C4" s="509"/>
      <c r="D4" s="509"/>
      <c r="E4" s="509"/>
      <c r="F4" s="509"/>
      <c r="G4" s="509"/>
      <c r="H4" s="509"/>
      <c r="I4" s="510"/>
      <c r="J4" s="84"/>
      <c r="K4" s="84"/>
    </row>
    <row r="5" spans="2:14" ht="24" customHeight="1" x14ac:dyDescent="0.15">
      <c r="B5" s="511" t="s">
        <v>222</v>
      </c>
      <c r="C5" s="512"/>
      <c r="D5" s="512"/>
      <c r="E5" s="512"/>
      <c r="F5" s="512"/>
      <c r="G5" s="512"/>
      <c r="H5" s="512"/>
      <c r="I5" s="513"/>
      <c r="J5" s="85"/>
      <c r="K5" s="85"/>
      <c r="N5" s="86" t="s">
        <v>77</v>
      </c>
    </row>
    <row r="6" spans="2:14" ht="46.25" customHeight="1" x14ac:dyDescent="0.15">
      <c r="B6" s="118" t="s">
        <v>223</v>
      </c>
      <c r="C6" s="134">
        <v>7</v>
      </c>
      <c r="D6" s="514" t="s">
        <v>224</v>
      </c>
      <c r="E6" s="514"/>
      <c r="F6" s="515" t="s">
        <v>412</v>
      </c>
      <c r="G6" s="515"/>
      <c r="H6" s="515"/>
      <c r="I6" s="516"/>
      <c r="J6" s="87"/>
      <c r="K6" s="87"/>
      <c r="M6" s="82" t="s">
        <v>81</v>
      </c>
      <c r="N6" s="86" t="s">
        <v>82</v>
      </c>
    </row>
    <row r="7" spans="2:14" ht="30.75" customHeight="1" x14ac:dyDescent="0.15">
      <c r="B7" s="118" t="s">
        <v>226</v>
      </c>
      <c r="C7" s="134" t="s">
        <v>84</v>
      </c>
      <c r="D7" s="514" t="s">
        <v>227</v>
      </c>
      <c r="E7" s="514"/>
      <c r="F7" s="515" t="s">
        <v>413</v>
      </c>
      <c r="G7" s="515"/>
      <c r="H7" s="135" t="s">
        <v>229</v>
      </c>
      <c r="I7" s="136" t="s">
        <v>84</v>
      </c>
      <c r="J7" s="88"/>
      <c r="K7" s="88"/>
      <c r="M7" s="82" t="s">
        <v>88</v>
      </c>
      <c r="N7" s="86" t="s">
        <v>89</v>
      </c>
    </row>
    <row r="8" spans="2:14" ht="30.75" customHeight="1" x14ac:dyDescent="0.15">
      <c r="B8" s="118" t="s">
        <v>230</v>
      </c>
      <c r="C8" s="515" t="s">
        <v>231</v>
      </c>
      <c r="D8" s="515"/>
      <c r="E8" s="515"/>
      <c r="F8" s="515"/>
      <c r="G8" s="135" t="s">
        <v>232</v>
      </c>
      <c r="H8" s="520">
        <v>7550</v>
      </c>
      <c r="I8" s="521"/>
      <c r="J8" s="89"/>
      <c r="K8" s="89"/>
      <c r="M8" s="82" t="s">
        <v>93</v>
      </c>
      <c r="N8" s="86" t="s">
        <v>44</v>
      </c>
    </row>
    <row r="9" spans="2:14" ht="30.75" customHeight="1" x14ac:dyDescent="0.15">
      <c r="B9" s="118" t="s">
        <v>68</v>
      </c>
      <c r="C9" s="522" t="s">
        <v>81</v>
      </c>
      <c r="D9" s="522"/>
      <c r="E9" s="522"/>
      <c r="F9" s="522"/>
      <c r="G9" s="135" t="s">
        <v>233</v>
      </c>
      <c r="H9" s="523" t="s">
        <v>414</v>
      </c>
      <c r="I9" s="524"/>
      <c r="J9" s="90"/>
      <c r="K9" s="90"/>
      <c r="M9" s="91" t="s">
        <v>97</v>
      </c>
    </row>
    <row r="10" spans="2:14" ht="59" customHeight="1" x14ac:dyDescent="0.15">
      <c r="B10" s="118" t="s">
        <v>235</v>
      </c>
      <c r="C10" s="515" t="s">
        <v>415</v>
      </c>
      <c r="D10" s="515"/>
      <c r="E10" s="515"/>
      <c r="F10" s="515"/>
      <c r="G10" s="515"/>
      <c r="H10" s="515"/>
      <c r="I10" s="516"/>
      <c r="J10" s="92"/>
      <c r="K10" s="92"/>
      <c r="M10" s="91"/>
    </row>
    <row r="11" spans="2:14" ht="30.75" customHeight="1" x14ac:dyDescent="0.15">
      <c r="B11" s="118" t="s">
        <v>237</v>
      </c>
      <c r="C11" s="517" t="s">
        <v>357</v>
      </c>
      <c r="D11" s="517"/>
      <c r="E11" s="517"/>
      <c r="F11" s="517"/>
      <c r="G11" s="517"/>
      <c r="H11" s="517"/>
      <c r="I11" s="525"/>
      <c r="J11" s="88"/>
      <c r="K11" s="88"/>
      <c r="M11" s="91"/>
      <c r="N11" s="86" t="s">
        <v>102</v>
      </c>
    </row>
    <row r="12" spans="2:14" ht="30.75" customHeight="1" x14ac:dyDescent="0.15">
      <c r="B12" s="118" t="s">
        <v>239</v>
      </c>
      <c r="C12" s="518" t="s">
        <v>416</v>
      </c>
      <c r="D12" s="518"/>
      <c r="E12" s="518"/>
      <c r="F12" s="518"/>
      <c r="G12" s="135" t="s">
        <v>241</v>
      </c>
      <c r="H12" s="542" t="s">
        <v>106</v>
      </c>
      <c r="I12" s="543"/>
      <c r="J12" s="88"/>
      <c r="K12" s="88"/>
      <c r="M12" s="91" t="s">
        <v>107</v>
      </c>
      <c r="N12" s="86" t="s">
        <v>84</v>
      </c>
    </row>
    <row r="13" spans="2:14" ht="30.75" customHeight="1" x14ac:dyDescent="0.15">
      <c r="B13" s="118" t="s">
        <v>242</v>
      </c>
      <c r="C13" s="526" t="s">
        <v>243</v>
      </c>
      <c r="D13" s="526"/>
      <c r="E13" s="526"/>
      <c r="F13" s="526"/>
      <c r="G13" s="135" t="s">
        <v>244</v>
      </c>
      <c r="H13" s="517" t="s">
        <v>77</v>
      </c>
      <c r="I13" s="525"/>
      <c r="J13" s="88"/>
      <c r="K13" s="88"/>
      <c r="M13" s="91" t="s">
        <v>111</v>
      </c>
    </row>
    <row r="14" spans="2:14" ht="30" customHeight="1" x14ac:dyDescent="0.15">
      <c r="B14" s="118" t="s">
        <v>245</v>
      </c>
      <c r="C14" s="518" t="s">
        <v>417</v>
      </c>
      <c r="D14" s="518"/>
      <c r="E14" s="518"/>
      <c r="F14" s="518"/>
      <c r="G14" s="518"/>
      <c r="H14" s="518"/>
      <c r="I14" s="519"/>
      <c r="J14" s="92"/>
      <c r="K14" s="92"/>
      <c r="M14" s="91" t="s">
        <v>114</v>
      </c>
      <c r="N14" s="86"/>
    </row>
    <row r="15" spans="2:14" ht="30.75" customHeight="1" x14ac:dyDescent="0.15">
      <c r="B15" s="118" t="s">
        <v>247</v>
      </c>
      <c r="C15" s="518" t="s">
        <v>418</v>
      </c>
      <c r="D15" s="518"/>
      <c r="E15" s="518"/>
      <c r="F15" s="518"/>
      <c r="G15" s="518"/>
      <c r="H15" s="518"/>
      <c r="I15" s="519"/>
      <c r="J15" s="93"/>
      <c r="K15" s="93"/>
      <c r="M15" s="91" t="s">
        <v>118</v>
      </c>
      <c r="N15" s="86"/>
    </row>
    <row r="16" spans="2:14" ht="42.5" customHeight="1" x14ac:dyDescent="0.15">
      <c r="B16" s="118" t="s">
        <v>249</v>
      </c>
      <c r="C16" s="515" t="s">
        <v>419</v>
      </c>
      <c r="D16" s="515"/>
      <c r="E16" s="515"/>
      <c r="F16" s="515"/>
      <c r="G16" s="515"/>
      <c r="H16" s="515"/>
      <c r="I16" s="516"/>
      <c r="J16" s="94"/>
      <c r="K16" s="94"/>
      <c r="M16" s="91"/>
      <c r="N16" s="86"/>
    </row>
    <row r="17" spans="2:14" ht="30.75" customHeight="1" x14ac:dyDescent="0.15">
      <c r="B17" s="118" t="s">
        <v>251</v>
      </c>
      <c r="C17" s="517" t="s">
        <v>43</v>
      </c>
      <c r="D17" s="533"/>
      <c r="E17" s="533"/>
      <c r="F17" s="533"/>
      <c r="G17" s="533"/>
      <c r="H17" s="533"/>
      <c r="I17" s="534"/>
      <c r="J17" s="95"/>
      <c r="K17" s="95"/>
      <c r="M17" s="91" t="s">
        <v>106</v>
      </c>
      <c r="N17" s="86"/>
    </row>
    <row r="18" spans="2:14" ht="18" customHeight="1" x14ac:dyDescent="0.15">
      <c r="B18" s="535" t="s">
        <v>253</v>
      </c>
      <c r="C18" s="536" t="s">
        <v>254</v>
      </c>
      <c r="D18" s="536"/>
      <c r="E18" s="536"/>
      <c r="F18" s="537" t="s">
        <v>255</v>
      </c>
      <c r="G18" s="537"/>
      <c r="H18" s="537"/>
      <c r="I18" s="538"/>
      <c r="J18" s="96"/>
      <c r="K18" s="96"/>
      <c r="M18" s="91" t="s">
        <v>128</v>
      </c>
      <c r="N18" s="86"/>
    </row>
    <row r="19" spans="2:14" ht="39.75" customHeight="1" x14ac:dyDescent="0.15">
      <c r="B19" s="535"/>
      <c r="C19" s="547" t="s">
        <v>420</v>
      </c>
      <c r="D19" s="528"/>
      <c r="E19" s="529"/>
      <c r="F19" s="515" t="str">
        <f>C19</f>
        <v>Actividades que se ejecutaron para la implementacion de los procesos transversales</v>
      </c>
      <c r="G19" s="515"/>
      <c r="H19" s="515"/>
      <c r="I19" s="516"/>
      <c r="J19" s="94"/>
      <c r="K19" s="94"/>
      <c r="M19" s="91" t="s">
        <v>132</v>
      </c>
      <c r="N19" s="86"/>
    </row>
    <row r="20" spans="2:14" ht="39.75" customHeight="1" x14ac:dyDescent="0.15">
      <c r="B20" s="118" t="s">
        <v>258</v>
      </c>
      <c r="C20" s="547" t="s">
        <v>389</v>
      </c>
      <c r="D20" s="528"/>
      <c r="E20" s="529"/>
      <c r="F20" s="515" t="str">
        <f>C20</f>
        <v>Cantidad de actividades que se ejecutaron para la implementacion de los procesos transversales</v>
      </c>
      <c r="G20" s="515"/>
      <c r="H20" s="515"/>
      <c r="I20" s="516"/>
      <c r="J20" s="88"/>
      <c r="K20" s="88"/>
      <c r="M20" s="91"/>
      <c r="N20" s="86"/>
    </row>
    <row r="21" spans="2:14" ht="27" customHeight="1" x14ac:dyDescent="0.15">
      <c r="B21" s="118" t="s">
        <v>259</v>
      </c>
      <c r="C21" s="547" t="s">
        <v>43</v>
      </c>
      <c r="D21" s="528"/>
      <c r="E21" s="529"/>
      <c r="F21" s="547" t="s">
        <v>43</v>
      </c>
      <c r="G21" s="528"/>
      <c r="H21" s="528"/>
      <c r="I21" s="548"/>
      <c r="J21" s="93"/>
      <c r="K21" s="93"/>
      <c r="M21" s="97"/>
      <c r="N21" s="86"/>
    </row>
    <row r="22" spans="2:14" ht="23.25" customHeight="1" x14ac:dyDescent="0.15">
      <c r="B22" s="118" t="s">
        <v>262</v>
      </c>
      <c r="C22" s="587">
        <v>44562</v>
      </c>
      <c r="D22" s="598"/>
      <c r="E22" s="599"/>
      <c r="F22" s="135" t="s">
        <v>263</v>
      </c>
      <c r="G22" s="244">
        <v>0.1</v>
      </c>
      <c r="H22" s="135" t="s">
        <v>264</v>
      </c>
      <c r="I22" s="248">
        <v>0.1</v>
      </c>
      <c r="K22" s="98"/>
      <c r="M22" s="97"/>
    </row>
    <row r="23" spans="2:14" ht="27" customHeight="1" x14ac:dyDescent="0.15">
      <c r="B23" s="118" t="s">
        <v>265</v>
      </c>
      <c r="C23" s="587">
        <v>44926</v>
      </c>
      <c r="D23" s="588"/>
      <c r="E23" s="589"/>
      <c r="F23" s="135" t="s">
        <v>266</v>
      </c>
      <c r="G23" s="530">
        <v>0.3</v>
      </c>
      <c r="H23" s="531"/>
      <c r="I23" s="532"/>
      <c r="J23" s="99"/>
      <c r="K23" s="99"/>
      <c r="M23" s="97"/>
    </row>
    <row r="24" spans="2:14" ht="30.75" customHeight="1" x14ac:dyDescent="0.15">
      <c r="B24" s="227" t="s">
        <v>267</v>
      </c>
      <c r="C24" s="600" t="s">
        <v>268</v>
      </c>
      <c r="D24" s="601"/>
      <c r="E24" s="602"/>
      <c r="F24" s="228" t="s">
        <v>269</v>
      </c>
      <c r="G24" s="547" t="s">
        <v>46</v>
      </c>
      <c r="H24" s="528"/>
      <c r="I24" s="548"/>
      <c r="K24" s="96"/>
      <c r="M24" s="97"/>
    </row>
    <row r="25" spans="2:14" ht="22.5" customHeight="1" x14ac:dyDescent="0.15">
      <c r="B25" s="511" t="s">
        <v>270</v>
      </c>
      <c r="C25" s="512"/>
      <c r="D25" s="512"/>
      <c r="E25" s="512"/>
      <c r="F25" s="512"/>
      <c r="G25" s="512"/>
      <c r="H25" s="512"/>
      <c r="I25" s="513"/>
      <c r="J25" s="85"/>
      <c r="K25" s="85"/>
      <c r="M25" s="97"/>
    </row>
    <row r="26" spans="2:14" ht="43.5" customHeight="1" x14ac:dyDescent="0.15">
      <c r="B26" s="100" t="s">
        <v>148</v>
      </c>
      <c r="C26" s="138" t="s">
        <v>271</v>
      </c>
      <c r="D26" s="138" t="s">
        <v>272</v>
      </c>
      <c r="E26" s="139" t="s">
        <v>273</v>
      </c>
      <c r="F26" s="138" t="s">
        <v>274</v>
      </c>
      <c r="G26" s="138" t="s">
        <v>275</v>
      </c>
      <c r="H26" s="139" t="s">
        <v>276</v>
      </c>
      <c r="I26" s="140" t="s">
        <v>277</v>
      </c>
      <c r="J26" s="94"/>
      <c r="K26" s="94"/>
      <c r="M26" s="97"/>
    </row>
    <row r="27" spans="2:14" ht="15.5" customHeight="1" x14ac:dyDescent="0.15">
      <c r="B27" s="100" t="s">
        <v>278</v>
      </c>
      <c r="C27" s="233">
        <f>4.69%*$G$23</f>
        <v>1.4070000000000001E-2</v>
      </c>
      <c r="D27" s="233">
        <f>4.69%*$G$23</f>
        <v>1.4070000000000001E-2</v>
      </c>
      <c r="E27" s="131">
        <f>+D27/C27</f>
        <v>1</v>
      </c>
      <c r="F27" s="603">
        <f>SUM(C27:C38)</f>
        <v>0.29993999999999998</v>
      </c>
      <c r="G27" s="603">
        <f>SUM(D27:D38)</f>
        <v>0.18102323972163276</v>
      </c>
      <c r="H27" s="234">
        <f>+(D27*100%)/$G$23</f>
        <v>4.6900000000000004E-2</v>
      </c>
      <c r="I27" s="817">
        <f>G27+I22</f>
        <v>0.28102323972163279</v>
      </c>
      <c r="J27" s="94"/>
      <c r="K27" s="94"/>
      <c r="M27" s="97"/>
    </row>
    <row r="28" spans="2:14" ht="15.5" customHeight="1" x14ac:dyDescent="0.15">
      <c r="B28" s="100" t="s">
        <v>158</v>
      </c>
      <c r="C28" s="233">
        <f>5.82%*$G$23</f>
        <v>1.746E-2</v>
      </c>
      <c r="D28" s="233">
        <f>0.1*$G$23</f>
        <v>0.03</v>
      </c>
      <c r="E28" s="131">
        <f t="shared" ref="E28:E38" si="0">+D28/C28</f>
        <v>1.7182130584192439</v>
      </c>
      <c r="F28" s="604"/>
      <c r="G28" s="604"/>
      <c r="H28" s="234">
        <f>+IF(D28="","",((D28*100%)/$G$23)+H27)</f>
        <v>0.1469</v>
      </c>
      <c r="I28" s="818"/>
      <c r="J28" s="94"/>
      <c r="K28" s="94"/>
      <c r="M28" s="97"/>
    </row>
    <row r="29" spans="2:14" ht="15.5" customHeight="1" x14ac:dyDescent="0.15">
      <c r="B29" s="100" t="s">
        <v>159</v>
      </c>
      <c r="C29" s="233">
        <f>11.82%*$G$23</f>
        <v>3.5459999999999998E-2</v>
      </c>
      <c r="D29" s="233">
        <f>8.64%*$G$23</f>
        <v>2.5920000000000002E-2</v>
      </c>
      <c r="E29" s="131">
        <f t="shared" si="0"/>
        <v>0.73096446700507622</v>
      </c>
      <c r="F29" s="604"/>
      <c r="G29" s="604"/>
      <c r="H29" s="234">
        <f>+IF(D29="","",((D29*100%)/$G$23)+H28)</f>
        <v>0.23330000000000001</v>
      </c>
      <c r="I29" s="818"/>
      <c r="J29" s="94"/>
      <c r="K29" s="94"/>
      <c r="M29" s="97"/>
    </row>
    <row r="30" spans="2:14" ht="15.5" customHeight="1" x14ac:dyDescent="0.15">
      <c r="B30" s="100" t="s">
        <v>160</v>
      </c>
      <c r="C30" s="233">
        <f>8.1%*$G$23</f>
        <v>2.4299999999999999E-2</v>
      </c>
      <c r="D30" s="233">
        <f>5.26%*$G$23</f>
        <v>1.5779999999999999E-2</v>
      </c>
      <c r="E30" s="131">
        <f t="shared" si="0"/>
        <v>0.64938271604938269</v>
      </c>
      <c r="F30" s="604"/>
      <c r="G30" s="604"/>
      <c r="H30" s="234">
        <f t="shared" ref="H30:H38" si="1">+IF(D30="","",((D30*100%)/$G$23)+H29)</f>
        <v>0.28589999999999999</v>
      </c>
      <c r="I30" s="818"/>
      <c r="J30" s="94"/>
      <c r="K30" s="94"/>
      <c r="M30" s="97"/>
    </row>
    <row r="31" spans="2:14" ht="15.5" customHeight="1" x14ac:dyDescent="0.15">
      <c r="B31" s="100" t="s">
        <v>161</v>
      </c>
      <c r="C31" s="233">
        <f>6.73%*$G$23</f>
        <v>2.019E-2</v>
      </c>
      <c r="D31" s="233">
        <f>6.73%*$G$23</f>
        <v>2.019E-2</v>
      </c>
      <c r="E31" s="131">
        <f t="shared" si="0"/>
        <v>1</v>
      </c>
      <c r="F31" s="604"/>
      <c r="G31" s="604"/>
      <c r="H31" s="234">
        <f t="shared" si="1"/>
        <v>0.35319999999999996</v>
      </c>
      <c r="I31" s="818"/>
      <c r="J31" s="94"/>
      <c r="K31" s="94"/>
      <c r="M31" s="97"/>
    </row>
    <row r="32" spans="2:14" ht="15.5" customHeight="1" x14ac:dyDescent="0.15">
      <c r="B32" s="100" t="s">
        <v>162</v>
      </c>
      <c r="C32" s="233">
        <f>10.1%*$G$23</f>
        <v>3.0299999999999997E-2</v>
      </c>
      <c r="D32" s="233">
        <f>10.1%*$G$23</f>
        <v>3.0299999999999997E-2</v>
      </c>
      <c r="E32" s="131">
        <f t="shared" si="0"/>
        <v>1</v>
      </c>
      <c r="F32" s="604"/>
      <c r="G32" s="604"/>
      <c r="H32" s="234">
        <f t="shared" si="1"/>
        <v>0.45419999999999994</v>
      </c>
      <c r="I32" s="818"/>
      <c r="J32" s="132"/>
      <c r="K32" s="94"/>
      <c r="M32" s="97"/>
    </row>
    <row r="33" spans="2:11" ht="19.5" customHeight="1" x14ac:dyDescent="0.15">
      <c r="B33" s="100" t="s">
        <v>163</v>
      </c>
      <c r="C33" s="233">
        <f>7.08%*$G$23</f>
        <v>2.1239999999999998E-2</v>
      </c>
      <c r="D33" s="233">
        <f>7.08%*$G$23</f>
        <v>2.1239999999999998E-2</v>
      </c>
      <c r="E33" s="131">
        <f t="shared" si="0"/>
        <v>1</v>
      </c>
      <c r="F33" s="604"/>
      <c r="G33" s="604"/>
      <c r="H33" s="234">
        <f t="shared" si="1"/>
        <v>0.52499999999999991</v>
      </c>
      <c r="I33" s="818"/>
      <c r="J33" s="102"/>
      <c r="K33" s="102"/>
    </row>
    <row r="34" spans="2:11" ht="19.5" customHeight="1" x14ac:dyDescent="0.15">
      <c r="B34" s="100" t="s">
        <v>164</v>
      </c>
      <c r="C34" s="233">
        <f>7.08%*$G$23</f>
        <v>2.1239999999999998E-2</v>
      </c>
      <c r="D34" s="233">
        <f>1.10749716203544*C34</f>
        <v>2.3523239721632741E-2</v>
      </c>
      <c r="E34" s="131">
        <f t="shared" si="0"/>
        <v>1.1074971620354399</v>
      </c>
      <c r="F34" s="604"/>
      <c r="G34" s="604"/>
      <c r="H34" s="234">
        <f t="shared" si="1"/>
        <v>0.60341079907210904</v>
      </c>
      <c r="I34" s="818"/>
      <c r="J34" s="102"/>
      <c r="K34" s="102"/>
    </row>
    <row r="35" spans="2:11" ht="19.5" customHeight="1" x14ac:dyDescent="0.15">
      <c r="B35" s="100" t="s">
        <v>165</v>
      </c>
      <c r="C35" s="233">
        <f>11.83%*$G$23</f>
        <v>3.5490000000000001E-2</v>
      </c>
      <c r="D35" s="233"/>
      <c r="E35" s="131">
        <f t="shared" si="0"/>
        <v>0</v>
      </c>
      <c r="F35" s="604"/>
      <c r="G35" s="604"/>
      <c r="H35" s="234" t="str">
        <f t="shared" si="1"/>
        <v/>
      </c>
      <c r="I35" s="818"/>
      <c r="J35" s="102"/>
      <c r="K35" s="102"/>
    </row>
    <row r="36" spans="2:11" ht="19.5" customHeight="1" x14ac:dyDescent="0.15">
      <c r="B36" s="100" t="s">
        <v>166</v>
      </c>
      <c r="C36" s="233">
        <f>8.33%*$G$23</f>
        <v>2.4989999999999998E-2</v>
      </c>
      <c r="D36" s="233"/>
      <c r="E36" s="131">
        <f t="shared" si="0"/>
        <v>0</v>
      </c>
      <c r="F36" s="604"/>
      <c r="G36" s="604"/>
      <c r="H36" s="234" t="str">
        <f t="shared" si="1"/>
        <v/>
      </c>
      <c r="I36" s="818"/>
      <c r="J36" s="102"/>
      <c r="K36" s="102"/>
    </row>
    <row r="37" spans="2:11" ht="19.5" customHeight="1" x14ac:dyDescent="0.15">
      <c r="B37" s="100" t="s">
        <v>167</v>
      </c>
      <c r="C37" s="233">
        <f>7.03%*$G$23</f>
        <v>2.1090000000000001E-2</v>
      </c>
      <c r="D37" s="233"/>
      <c r="E37" s="131">
        <f t="shared" si="0"/>
        <v>0</v>
      </c>
      <c r="F37" s="604"/>
      <c r="G37" s="604"/>
      <c r="H37" s="234" t="str">
        <f t="shared" si="1"/>
        <v/>
      </c>
      <c r="I37" s="818"/>
      <c r="J37" s="102"/>
      <c r="K37" s="102"/>
    </row>
    <row r="38" spans="2:11" ht="19.5" customHeight="1" x14ac:dyDescent="0.15">
      <c r="B38" s="100" t="s">
        <v>168</v>
      </c>
      <c r="C38" s="233">
        <f>11.37%*$G$23</f>
        <v>3.4109999999999994E-2</v>
      </c>
      <c r="D38" s="233"/>
      <c r="E38" s="131">
        <f t="shared" si="0"/>
        <v>0</v>
      </c>
      <c r="F38" s="605"/>
      <c r="G38" s="605"/>
      <c r="H38" s="234" t="str">
        <f t="shared" si="1"/>
        <v/>
      </c>
      <c r="I38" s="819"/>
      <c r="J38" s="102"/>
      <c r="K38" s="102"/>
    </row>
    <row r="39" spans="2:11" ht="52.5" customHeight="1" x14ac:dyDescent="0.15">
      <c r="B39" s="119" t="s">
        <v>280</v>
      </c>
      <c r="C39" s="820"/>
      <c r="D39" s="821"/>
      <c r="E39" s="821"/>
      <c r="F39" s="821"/>
      <c r="G39" s="821"/>
      <c r="H39" s="821"/>
      <c r="I39" s="822"/>
      <c r="J39" s="103"/>
      <c r="K39" s="103"/>
    </row>
    <row r="40" spans="2:11" ht="34.5" customHeight="1" x14ac:dyDescent="0.15">
      <c r="B40" s="557"/>
      <c r="C40" s="558"/>
      <c r="D40" s="558"/>
      <c r="E40" s="558"/>
      <c r="F40" s="558"/>
      <c r="G40" s="558"/>
      <c r="H40" s="558"/>
      <c r="I40" s="559"/>
      <c r="J40" s="85"/>
      <c r="K40" s="85"/>
    </row>
    <row r="41" spans="2:11" ht="34.5" customHeight="1" x14ac:dyDescent="0.15">
      <c r="B41" s="560"/>
      <c r="C41" s="561"/>
      <c r="D41" s="561"/>
      <c r="E41" s="561"/>
      <c r="F41" s="561"/>
      <c r="G41" s="561"/>
      <c r="H41" s="561"/>
      <c r="I41" s="562"/>
      <c r="J41" s="103"/>
      <c r="K41" s="103"/>
    </row>
    <row r="42" spans="2:11" ht="34.5" customHeight="1" x14ac:dyDescent="0.15">
      <c r="B42" s="560"/>
      <c r="C42" s="561"/>
      <c r="D42" s="561"/>
      <c r="E42" s="561"/>
      <c r="F42" s="561"/>
      <c r="G42" s="561"/>
      <c r="H42" s="561"/>
      <c r="I42" s="562"/>
      <c r="J42" s="103"/>
      <c r="K42" s="103"/>
    </row>
    <row r="43" spans="2:11" ht="34.5" customHeight="1" x14ac:dyDescent="0.15">
      <c r="B43" s="560"/>
      <c r="C43" s="561"/>
      <c r="D43" s="561"/>
      <c r="E43" s="561"/>
      <c r="F43" s="561"/>
      <c r="G43" s="561"/>
      <c r="H43" s="561"/>
      <c r="I43" s="562"/>
      <c r="J43" s="103"/>
      <c r="K43" s="103"/>
    </row>
    <row r="44" spans="2:11" ht="34.5" customHeight="1" x14ac:dyDescent="0.15">
      <c r="B44" s="563"/>
      <c r="C44" s="564"/>
      <c r="D44" s="564"/>
      <c r="E44" s="564"/>
      <c r="F44" s="564"/>
      <c r="G44" s="564"/>
      <c r="H44" s="564"/>
      <c r="I44" s="565"/>
      <c r="J44" s="84"/>
      <c r="K44" s="84"/>
    </row>
    <row r="45" spans="2:11" ht="34.5" customHeight="1" x14ac:dyDescent="0.15">
      <c r="B45" s="162"/>
      <c r="C45" s="166" t="s">
        <v>366</v>
      </c>
      <c r="D45" s="150"/>
      <c r="E45" s="150"/>
      <c r="F45" s="150"/>
      <c r="G45" s="151"/>
      <c r="H45" s="151"/>
      <c r="I45" s="151"/>
      <c r="J45" s="84"/>
      <c r="K45" s="84"/>
    </row>
    <row r="46" spans="2:11" ht="61.75" customHeight="1" x14ac:dyDescent="0.15">
      <c r="B46" s="615" t="s">
        <v>282</v>
      </c>
      <c r="C46" s="826" t="s">
        <v>468</v>
      </c>
      <c r="D46" s="827"/>
      <c r="E46" s="827"/>
      <c r="F46" s="828"/>
      <c r="G46" s="149"/>
      <c r="H46" s="169" t="s">
        <v>421</v>
      </c>
      <c r="I46" s="169" t="s">
        <v>422</v>
      </c>
      <c r="J46" s="104"/>
      <c r="K46" s="104"/>
    </row>
    <row r="47" spans="2:11" ht="61.75" customHeight="1" x14ac:dyDescent="0.15">
      <c r="B47" s="616"/>
      <c r="C47" s="829"/>
      <c r="D47" s="830"/>
      <c r="E47" s="830"/>
      <c r="F47" s="831"/>
      <c r="G47" s="165" t="s">
        <v>423</v>
      </c>
      <c r="H47" s="168">
        <v>173</v>
      </c>
      <c r="I47" s="168">
        <f>863+158+159+173</f>
        <v>1353</v>
      </c>
      <c r="J47" s="104"/>
      <c r="K47" s="104"/>
    </row>
    <row r="48" spans="2:11" ht="61.75" customHeight="1" x14ac:dyDescent="0.15">
      <c r="B48" s="616"/>
      <c r="C48" s="829"/>
      <c r="D48" s="830"/>
      <c r="E48" s="830"/>
      <c r="F48" s="831"/>
      <c r="G48" s="165" t="s">
        <v>409</v>
      </c>
      <c r="H48" s="292">
        <v>1</v>
      </c>
      <c r="I48" s="168">
        <f>5+1+1</f>
        <v>7</v>
      </c>
      <c r="J48" s="104"/>
      <c r="K48" s="104"/>
    </row>
    <row r="49" spans="2:11" ht="61.75" customHeight="1" x14ac:dyDescent="0.15">
      <c r="B49" s="616"/>
      <c r="C49" s="832"/>
      <c r="D49" s="833"/>
      <c r="E49" s="833"/>
      <c r="F49" s="834"/>
      <c r="G49" s="165" t="s">
        <v>424</v>
      </c>
      <c r="H49" s="168">
        <v>87</v>
      </c>
      <c r="I49" s="168">
        <f>227+74+72+87</f>
        <v>460</v>
      </c>
      <c r="J49" s="104"/>
      <c r="K49" s="104"/>
    </row>
    <row r="50" spans="2:11" ht="132.75" customHeight="1" x14ac:dyDescent="0.15">
      <c r="B50" s="118" t="s">
        <v>283</v>
      </c>
      <c r="C50" s="823" t="s">
        <v>46</v>
      </c>
      <c r="D50" s="824"/>
      <c r="E50" s="824"/>
      <c r="F50" s="824"/>
      <c r="G50" s="824"/>
      <c r="H50" s="824"/>
      <c r="I50" s="825"/>
      <c r="J50" s="104"/>
      <c r="K50" s="104"/>
    </row>
    <row r="51" spans="2:11" ht="90" customHeight="1" x14ac:dyDescent="0.15">
      <c r="B51" s="120" t="s">
        <v>284</v>
      </c>
      <c r="C51" s="823" t="s">
        <v>469</v>
      </c>
      <c r="D51" s="824"/>
      <c r="E51" s="824"/>
      <c r="F51" s="824"/>
      <c r="G51" s="824"/>
      <c r="H51" s="824"/>
      <c r="I51" s="825"/>
      <c r="J51" s="104"/>
      <c r="K51" s="104"/>
    </row>
    <row r="52" spans="2:11" ht="22.5" customHeight="1" x14ac:dyDescent="0.15">
      <c r="B52" s="511" t="s">
        <v>286</v>
      </c>
      <c r="C52" s="512"/>
      <c r="D52" s="512"/>
      <c r="E52" s="512"/>
      <c r="F52" s="512"/>
      <c r="G52" s="512"/>
      <c r="H52" s="512"/>
      <c r="I52" s="513"/>
      <c r="J52" s="104"/>
      <c r="K52" s="104"/>
    </row>
    <row r="53" spans="2:11" ht="22.5" customHeight="1" x14ac:dyDescent="0.15">
      <c r="B53" s="579" t="s">
        <v>287</v>
      </c>
      <c r="C53" s="141" t="s">
        <v>288</v>
      </c>
      <c r="D53" s="581" t="s">
        <v>289</v>
      </c>
      <c r="E53" s="581"/>
      <c r="F53" s="581"/>
      <c r="G53" s="581" t="s">
        <v>290</v>
      </c>
      <c r="H53" s="581"/>
      <c r="I53" s="582"/>
      <c r="J53" s="105"/>
      <c r="K53" s="105"/>
    </row>
    <row r="54" spans="2:11" ht="30.75" customHeight="1" x14ac:dyDescent="0.15">
      <c r="B54" s="580"/>
      <c r="C54" s="249"/>
      <c r="D54" s="746"/>
      <c r="E54" s="746"/>
      <c r="F54" s="746"/>
      <c r="G54" s="746"/>
      <c r="H54" s="746"/>
      <c r="I54" s="747"/>
      <c r="J54" s="105"/>
      <c r="K54" s="105"/>
    </row>
    <row r="55" spans="2:11" ht="32.25" customHeight="1" x14ac:dyDescent="0.15">
      <c r="B55" s="121" t="s">
        <v>291</v>
      </c>
      <c r="C55" s="746" t="s">
        <v>425</v>
      </c>
      <c r="D55" s="746"/>
      <c r="E55" s="746"/>
      <c r="F55" s="746"/>
      <c r="G55" s="746"/>
      <c r="H55" s="746"/>
      <c r="I55" s="747"/>
      <c r="J55" s="106"/>
      <c r="K55" s="106"/>
    </row>
    <row r="56" spans="2:11" ht="28.5" customHeight="1" x14ac:dyDescent="0.15">
      <c r="B56" s="122" t="s">
        <v>293</v>
      </c>
      <c r="C56" s="746" t="s">
        <v>425</v>
      </c>
      <c r="D56" s="746"/>
      <c r="E56" s="746"/>
      <c r="F56" s="746"/>
      <c r="G56" s="746"/>
      <c r="H56" s="746"/>
      <c r="I56" s="747"/>
      <c r="J56" s="106"/>
      <c r="K56" s="106"/>
    </row>
    <row r="57" spans="2:11" ht="30" customHeight="1" x14ac:dyDescent="0.15">
      <c r="B57" s="120" t="s">
        <v>294</v>
      </c>
      <c r="C57" s="835" t="s">
        <v>295</v>
      </c>
      <c r="D57" s="836"/>
      <c r="E57" s="836"/>
      <c r="F57" s="836"/>
      <c r="G57" s="836"/>
      <c r="H57" s="836"/>
      <c r="I57" s="837"/>
      <c r="J57" s="107"/>
      <c r="K57" s="107"/>
    </row>
    <row r="58" spans="2:11" ht="31.5" customHeight="1" thickBot="1" x14ac:dyDescent="0.2">
      <c r="B58" s="116" t="s">
        <v>296</v>
      </c>
      <c r="C58" s="838" t="s">
        <v>426</v>
      </c>
      <c r="D58" s="839"/>
      <c r="E58" s="839"/>
      <c r="F58" s="839"/>
      <c r="G58" s="839"/>
      <c r="H58" s="839"/>
      <c r="I58" s="840"/>
      <c r="J58" s="108"/>
      <c r="K58" s="108"/>
    </row>
    <row r="59" spans="2:11" ht="13.25" customHeight="1" x14ac:dyDescent="0.15">
      <c r="B59" s="109"/>
      <c r="C59" s="110"/>
      <c r="D59" s="110"/>
      <c r="E59" s="111"/>
      <c r="F59" s="111"/>
      <c r="G59" s="117"/>
      <c r="H59" s="113"/>
      <c r="I59" s="110"/>
      <c r="J59" s="108"/>
      <c r="K59" s="108"/>
    </row>
    <row r="60" spans="2:11" ht="13.25" customHeight="1" x14ac:dyDescent="0.15">
      <c r="B60" s="109"/>
      <c r="C60" s="110"/>
      <c r="D60" s="110"/>
      <c r="E60" s="111"/>
      <c r="F60" s="111"/>
      <c r="G60" s="117"/>
      <c r="H60" s="113"/>
      <c r="I60" s="110"/>
      <c r="J60" s="108"/>
      <c r="K60" s="108"/>
    </row>
    <row r="61" spans="2:11" ht="13.25" customHeight="1" x14ac:dyDescent="0.15">
      <c r="B61" s="109"/>
      <c r="C61" s="110"/>
      <c r="D61" s="110"/>
      <c r="E61" s="111"/>
      <c r="F61" s="111"/>
      <c r="G61" s="117"/>
      <c r="H61" s="113"/>
      <c r="I61" s="110"/>
      <c r="J61" s="108"/>
      <c r="K61" s="108"/>
    </row>
    <row r="62" spans="2:11" ht="13.25" customHeight="1" x14ac:dyDescent="0.15">
      <c r="B62" s="109"/>
      <c r="C62" s="110"/>
      <c r="D62" s="110"/>
      <c r="E62" s="111"/>
      <c r="F62" s="111"/>
      <c r="G62" s="117"/>
      <c r="H62" s="113"/>
      <c r="I62" s="110"/>
      <c r="J62" s="108"/>
      <c r="K62" s="108"/>
    </row>
    <row r="63" spans="2:11" ht="13.25" customHeight="1" x14ac:dyDescent="0.15">
      <c r="B63" s="109"/>
      <c r="C63" s="110"/>
      <c r="D63" s="110"/>
      <c r="E63" s="111"/>
      <c r="F63" s="111"/>
      <c r="G63" s="117"/>
      <c r="H63" s="113"/>
      <c r="I63" s="110"/>
      <c r="J63" s="108"/>
      <c r="K63" s="108"/>
    </row>
    <row r="64" spans="2:11" ht="25.5" customHeight="1" x14ac:dyDescent="0.15">
      <c r="B64" s="109"/>
      <c r="C64" s="110"/>
      <c r="D64" s="110"/>
      <c r="E64" s="111"/>
      <c r="F64" s="111"/>
      <c r="G64" s="117"/>
      <c r="H64" s="113"/>
      <c r="I64" s="110"/>
      <c r="J64" s="108"/>
      <c r="K64" s="108"/>
    </row>
    <row r="65" ht="14" customHeight="1" x14ac:dyDescent="0.15"/>
  </sheetData>
  <mergeCells count="60">
    <mergeCell ref="C56:I56"/>
    <mergeCell ref="C57:I57"/>
    <mergeCell ref="C58:I58"/>
    <mergeCell ref="B53:B54"/>
    <mergeCell ref="D53:F53"/>
    <mergeCell ref="G53:I53"/>
    <mergeCell ref="D54:F54"/>
    <mergeCell ref="G54:I54"/>
    <mergeCell ref="C55:I55"/>
    <mergeCell ref="B52:I52"/>
    <mergeCell ref="C24:E24"/>
    <mergeCell ref="G24:I24"/>
    <mergeCell ref="B25:I25"/>
    <mergeCell ref="F27:F38"/>
    <mergeCell ref="G27:G38"/>
    <mergeCell ref="I27:I38"/>
    <mergeCell ref="C39:I39"/>
    <mergeCell ref="B40:I44"/>
    <mergeCell ref="C51:I51"/>
    <mergeCell ref="C50:I50"/>
    <mergeCell ref="B46:B49"/>
    <mergeCell ref="C46:F49"/>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367"/>
      <c r="C2" s="365" t="s">
        <v>0</v>
      </c>
      <c r="D2" s="365"/>
      <c r="E2" s="365"/>
      <c r="F2" s="365"/>
      <c r="G2" s="365"/>
      <c r="H2" s="365"/>
      <c r="I2" s="369"/>
      <c r="J2" s="10"/>
      <c r="K2" s="10"/>
      <c r="M2" s="11" t="s">
        <v>67</v>
      </c>
    </row>
    <row r="3" spans="2:14" ht="25.5" customHeight="1" x14ac:dyDescent="0.15">
      <c r="B3" s="368"/>
      <c r="C3" s="366" t="s">
        <v>1</v>
      </c>
      <c r="D3" s="366"/>
      <c r="E3" s="366"/>
      <c r="F3" s="366"/>
      <c r="G3" s="366"/>
      <c r="H3" s="366"/>
      <c r="I3" s="370"/>
      <c r="J3" s="10"/>
      <c r="K3" s="10"/>
      <c r="M3" s="11" t="s">
        <v>68</v>
      </c>
    </row>
    <row r="4" spans="2:14" ht="25.5" customHeight="1" x14ac:dyDescent="0.15">
      <c r="B4" s="368"/>
      <c r="C4" s="366" t="s">
        <v>69</v>
      </c>
      <c r="D4" s="366"/>
      <c r="E4" s="366"/>
      <c r="F4" s="366"/>
      <c r="G4" s="366"/>
      <c r="H4" s="366"/>
      <c r="I4" s="370"/>
      <c r="J4" s="10"/>
      <c r="K4" s="10"/>
      <c r="M4" s="11" t="s">
        <v>70</v>
      </c>
    </row>
    <row r="5" spans="2:14" ht="25.5" customHeight="1" x14ac:dyDescent="0.15">
      <c r="B5" s="368"/>
      <c r="C5" s="366" t="s">
        <v>71</v>
      </c>
      <c r="D5" s="366"/>
      <c r="E5" s="366"/>
      <c r="F5" s="366"/>
      <c r="G5" s="371" t="s">
        <v>72</v>
      </c>
      <c r="H5" s="371"/>
      <c r="I5" s="370"/>
      <c r="J5" s="10"/>
      <c r="K5" s="10"/>
      <c r="M5" s="11" t="s">
        <v>73</v>
      </c>
    </row>
    <row r="6" spans="2:14" ht="23.25" customHeight="1" x14ac:dyDescent="0.15">
      <c r="B6" s="372" t="s">
        <v>74</v>
      </c>
      <c r="C6" s="373"/>
      <c r="D6" s="373"/>
      <c r="E6" s="373"/>
      <c r="F6" s="373"/>
      <c r="G6" s="373"/>
      <c r="H6" s="373"/>
      <c r="I6" s="374"/>
      <c r="J6" s="12"/>
      <c r="K6" s="12"/>
    </row>
    <row r="7" spans="2:14" ht="24" customHeight="1" x14ac:dyDescent="0.15">
      <c r="B7" s="375" t="s">
        <v>75</v>
      </c>
      <c r="C7" s="376"/>
      <c r="D7" s="376"/>
      <c r="E7" s="376"/>
      <c r="F7" s="376"/>
      <c r="G7" s="376"/>
      <c r="H7" s="376"/>
      <c r="I7" s="377"/>
      <c r="J7" s="13"/>
      <c r="K7" s="13"/>
    </row>
    <row r="8" spans="2:14" ht="24" customHeight="1" x14ac:dyDescent="0.15">
      <c r="B8" s="378" t="s">
        <v>76</v>
      </c>
      <c r="C8" s="379"/>
      <c r="D8" s="379"/>
      <c r="E8" s="379"/>
      <c r="F8" s="379"/>
      <c r="G8" s="379"/>
      <c r="H8" s="379"/>
      <c r="I8" s="380"/>
      <c r="J8" s="40"/>
      <c r="K8" s="40"/>
      <c r="N8" s="6" t="s">
        <v>77</v>
      </c>
    </row>
    <row r="9" spans="2:14" ht="30.75" customHeight="1" x14ac:dyDescent="0.15">
      <c r="B9" s="62" t="s">
        <v>78</v>
      </c>
      <c r="C9" s="41">
        <v>14</v>
      </c>
      <c r="D9" s="386" t="s">
        <v>79</v>
      </c>
      <c r="E9" s="386"/>
      <c r="F9" s="387" t="s">
        <v>427</v>
      </c>
      <c r="G9" s="388"/>
      <c r="H9" s="388"/>
      <c r="I9" s="389"/>
      <c r="J9" s="14"/>
      <c r="K9" s="14"/>
      <c r="M9" s="11" t="s">
        <v>81</v>
      </c>
      <c r="N9" s="6" t="s">
        <v>82</v>
      </c>
    </row>
    <row r="10" spans="2:14" ht="30.75" customHeight="1" x14ac:dyDescent="0.15">
      <c r="B10" s="184" t="s">
        <v>83</v>
      </c>
      <c r="C10" s="185" t="s">
        <v>84</v>
      </c>
      <c r="D10" s="390" t="s">
        <v>85</v>
      </c>
      <c r="E10" s="391"/>
      <c r="F10" s="381" t="s">
        <v>86</v>
      </c>
      <c r="G10" s="382"/>
      <c r="H10" s="186" t="s">
        <v>87</v>
      </c>
      <c r="I10" s="250" t="s">
        <v>84</v>
      </c>
      <c r="J10" s="15"/>
      <c r="K10" s="15"/>
      <c r="M10" s="11" t="s">
        <v>88</v>
      </c>
      <c r="N10" s="6" t="s">
        <v>89</v>
      </c>
    </row>
    <row r="11" spans="2:14" ht="30.75" customHeight="1" x14ac:dyDescent="0.15">
      <c r="B11" s="184" t="s">
        <v>90</v>
      </c>
      <c r="C11" s="383" t="s">
        <v>91</v>
      </c>
      <c r="D11" s="383"/>
      <c r="E11" s="383"/>
      <c r="F11" s="383"/>
      <c r="G11" s="186" t="s">
        <v>92</v>
      </c>
      <c r="H11" s="384">
        <v>1032</v>
      </c>
      <c r="I11" s="385"/>
      <c r="J11" s="16"/>
      <c r="K11" s="16"/>
      <c r="M11" s="11" t="s">
        <v>93</v>
      </c>
      <c r="N11" s="6" t="s">
        <v>44</v>
      </c>
    </row>
    <row r="12" spans="2:14" ht="30.75" customHeight="1" x14ac:dyDescent="0.15">
      <c r="B12" s="184" t="s">
        <v>94</v>
      </c>
      <c r="C12" s="392" t="s">
        <v>88</v>
      </c>
      <c r="D12" s="392"/>
      <c r="E12" s="392"/>
      <c r="F12" s="392"/>
      <c r="G12" s="186" t="s">
        <v>95</v>
      </c>
      <c r="H12" s="867" t="s">
        <v>428</v>
      </c>
      <c r="I12" s="868"/>
      <c r="J12" s="17"/>
      <c r="K12" s="17"/>
      <c r="M12" s="18" t="s">
        <v>97</v>
      </c>
    </row>
    <row r="13" spans="2:14" ht="30.75" customHeight="1" x14ac:dyDescent="0.15">
      <c r="B13" s="184" t="s">
        <v>98</v>
      </c>
      <c r="C13" s="395" t="s">
        <v>99</v>
      </c>
      <c r="D13" s="395"/>
      <c r="E13" s="395"/>
      <c r="F13" s="395"/>
      <c r="G13" s="395"/>
      <c r="H13" s="395"/>
      <c r="I13" s="396"/>
      <c r="J13" s="19"/>
      <c r="K13" s="19"/>
      <c r="M13" s="18"/>
    </row>
    <row r="14" spans="2:14" ht="30.75" customHeight="1" x14ac:dyDescent="0.15">
      <c r="B14" s="184" t="s">
        <v>100</v>
      </c>
      <c r="C14" s="381" t="s">
        <v>429</v>
      </c>
      <c r="D14" s="382"/>
      <c r="E14" s="382"/>
      <c r="F14" s="382"/>
      <c r="G14" s="382"/>
      <c r="H14" s="382"/>
      <c r="I14" s="397"/>
      <c r="J14" s="15"/>
      <c r="K14" s="15"/>
      <c r="M14" s="18"/>
      <c r="N14" s="6" t="s">
        <v>102</v>
      </c>
    </row>
    <row r="15" spans="2:14" ht="30.75" customHeight="1" x14ac:dyDescent="0.15">
      <c r="B15" s="184" t="s">
        <v>103</v>
      </c>
      <c r="C15" s="387" t="s">
        <v>430</v>
      </c>
      <c r="D15" s="388"/>
      <c r="E15" s="388"/>
      <c r="F15" s="849"/>
      <c r="G15" s="186" t="s">
        <v>105</v>
      </c>
      <c r="H15" s="399" t="s">
        <v>106</v>
      </c>
      <c r="I15" s="400"/>
      <c r="J15" s="15"/>
      <c r="K15" s="15"/>
      <c r="M15" s="18" t="s">
        <v>107</v>
      </c>
      <c r="N15" s="6" t="s">
        <v>84</v>
      </c>
    </row>
    <row r="16" spans="2:14" ht="30.75" customHeight="1" x14ac:dyDescent="0.15">
      <c r="B16" s="184" t="s">
        <v>108</v>
      </c>
      <c r="C16" s="401" t="s">
        <v>109</v>
      </c>
      <c r="D16" s="402"/>
      <c r="E16" s="402"/>
      <c r="F16" s="402"/>
      <c r="G16" s="186" t="s">
        <v>110</v>
      </c>
      <c r="H16" s="399" t="s">
        <v>44</v>
      </c>
      <c r="I16" s="400"/>
      <c r="J16" s="15"/>
      <c r="K16" s="15"/>
      <c r="M16" s="18" t="s">
        <v>111</v>
      </c>
    </row>
    <row r="17" spans="2:14" ht="36" customHeight="1" x14ac:dyDescent="0.15">
      <c r="B17" s="184" t="s">
        <v>112</v>
      </c>
      <c r="C17" s="860" t="s">
        <v>431</v>
      </c>
      <c r="D17" s="861"/>
      <c r="E17" s="861"/>
      <c r="F17" s="861"/>
      <c r="G17" s="861"/>
      <c r="H17" s="861"/>
      <c r="I17" s="862"/>
      <c r="J17" s="19"/>
      <c r="K17" s="19"/>
      <c r="M17" s="18" t="s">
        <v>114</v>
      </c>
      <c r="N17" s="6" t="s">
        <v>115</v>
      </c>
    </row>
    <row r="18" spans="2:14" ht="30.75" customHeight="1" x14ac:dyDescent="0.15">
      <c r="B18" s="184" t="s">
        <v>116</v>
      </c>
      <c r="C18" s="387" t="s">
        <v>432</v>
      </c>
      <c r="D18" s="388"/>
      <c r="E18" s="388"/>
      <c r="F18" s="388"/>
      <c r="G18" s="388"/>
      <c r="H18" s="388"/>
      <c r="I18" s="389"/>
      <c r="J18" s="20"/>
      <c r="K18" s="20"/>
      <c r="M18" s="18" t="s">
        <v>118</v>
      </c>
      <c r="N18" s="6" t="s">
        <v>119</v>
      </c>
    </row>
    <row r="19" spans="2:14" ht="30.75" customHeight="1" x14ac:dyDescent="0.15">
      <c r="B19" s="184" t="s">
        <v>120</v>
      </c>
      <c r="C19" s="857" t="s">
        <v>433</v>
      </c>
      <c r="D19" s="858"/>
      <c r="E19" s="858"/>
      <c r="F19" s="858"/>
      <c r="G19" s="858"/>
      <c r="H19" s="858"/>
      <c r="I19" s="859"/>
      <c r="J19" s="21"/>
      <c r="K19" s="21"/>
      <c r="M19" s="18"/>
      <c r="N19" s="6" t="s">
        <v>122</v>
      </c>
    </row>
    <row r="20" spans="2:14" ht="30.75" customHeight="1" x14ac:dyDescent="0.15">
      <c r="B20" s="184" t="s">
        <v>123</v>
      </c>
      <c r="C20" s="863" t="s">
        <v>43</v>
      </c>
      <c r="D20" s="864"/>
      <c r="E20" s="864"/>
      <c r="F20" s="864"/>
      <c r="G20" s="864"/>
      <c r="H20" s="864"/>
      <c r="I20" s="865"/>
      <c r="J20" s="22"/>
      <c r="K20" s="22"/>
      <c r="M20" s="18" t="s">
        <v>106</v>
      </c>
      <c r="N20" s="6" t="s">
        <v>124</v>
      </c>
    </row>
    <row r="21" spans="2:14" ht="27.75" customHeight="1" x14ac:dyDescent="0.15">
      <c r="B21" s="406" t="s">
        <v>125</v>
      </c>
      <c r="C21" s="408" t="s">
        <v>126</v>
      </c>
      <c r="D21" s="408"/>
      <c r="E21" s="408"/>
      <c r="F21" s="409" t="s">
        <v>127</v>
      </c>
      <c r="G21" s="409"/>
      <c r="H21" s="409"/>
      <c r="I21" s="410"/>
      <c r="J21" s="23"/>
      <c r="K21" s="23"/>
      <c r="M21" s="18" t="s">
        <v>128</v>
      </c>
      <c r="N21" s="6" t="s">
        <v>129</v>
      </c>
    </row>
    <row r="22" spans="2:14" ht="27" customHeight="1" x14ac:dyDescent="0.15">
      <c r="B22" s="407"/>
      <c r="C22" s="857" t="s">
        <v>434</v>
      </c>
      <c r="D22" s="858"/>
      <c r="E22" s="866"/>
      <c r="F22" s="857" t="s">
        <v>435</v>
      </c>
      <c r="G22" s="858"/>
      <c r="H22" s="858"/>
      <c r="I22" s="859"/>
      <c r="J22" s="21"/>
      <c r="K22" s="21"/>
      <c r="M22" s="18" t="s">
        <v>132</v>
      </c>
      <c r="N22" s="6" t="s">
        <v>133</v>
      </c>
    </row>
    <row r="23" spans="2:14" ht="39.75" customHeight="1" x14ac:dyDescent="0.15">
      <c r="B23" s="184" t="s">
        <v>134</v>
      </c>
      <c r="C23" s="381" t="s">
        <v>43</v>
      </c>
      <c r="D23" s="382"/>
      <c r="E23" s="853"/>
      <c r="F23" s="381" t="s">
        <v>43</v>
      </c>
      <c r="G23" s="382"/>
      <c r="H23" s="382"/>
      <c r="I23" s="397"/>
      <c r="J23" s="15"/>
      <c r="K23" s="15"/>
      <c r="M23" s="18"/>
      <c r="N23" s="6" t="s">
        <v>99</v>
      </c>
    </row>
    <row r="24" spans="2:14" ht="44.25" customHeight="1" x14ac:dyDescent="0.15">
      <c r="B24" s="184" t="s">
        <v>135</v>
      </c>
      <c r="C24" s="854" t="s">
        <v>436</v>
      </c>
      <c r="D24" s="855"/>
      <c r="E24" s="856"/>
      <c r="F24" s="857" t="s">
        <v>437</v>
      </c>
      <c r="G24" s="858"/>
      <c r="H24" s="858"/>
      <c r="I24" s="859"/>
      <c r="J24" s="20"/>
      <c r="K24" s="20"/>
      <c r="M24" s="24"/>
      <c r="N24" s="6" t="s">
        <v>138</v>
      </c>
    </row>
    <row r="25" spans="2:14" ht="29.25" customHeight="1" x14ac:dyDescent="0.15">
      <c r="B25" s="184" t="s">
        <v>139</v>
      </c>
      <c r="C25" s="423" t="s">
        <v>109</v>
      </c>
      <c r="D25" s="424"/>
      <c r="E25" s="425"/>
      <c r="F25" s="186" t="s">
        <v>140</v>
      </c>
      <c r="G25" s="850">
        <v>74</v>
      </c>
      <c r="H25" s="851"/>
      <c r="I25" s="852"/>
      <c r="J25" s="25"/>
      <c r="K25" s="25"/>
      <c r="M25" s="24"/>
    </row>
    <row r="26" spans="2:14" ht="27" customHeight="1" x14ac:dyDescent="0.15">
      <c r="B26" s="184" t="s">
        <v>141</v>
      </c>
      <c r="C26" s="387" t="s">
        <v>142</v>
      </c>
      <c r="D26" s="388"/>
      <c r="E26" s="849"/>
      <c r="F26" s="186" t="s">
        <v>143</v>
      </c>
      <c r="G26" s="850">
        <v>0</v>
      </c>
      <c r="H26" s="851"/>
      <c r="I26" s="852"/>
      <c r="J26" s="26"/>
      <c r="K26" s="26"/>
      <c r="M26" s="24"/>
    </row>
    <row r="27" spans="2:14" ht="47.25" customHeight="1" x14ac:dyDescent="0.15">
      <c r="B27" s="188" t="s">
        <v>144</v>
      </c>
      <c r="C27" s="381" t="s">
        <v>114</v>
      </c>
      <c r="D27" s="382"/>
      <c r="E27" s="853"/>
      <c r="F27" s="189" t="s">
        <v>145</v>
      </c>
      <c r="G27" s="430" t="s">
        <v>146</v>
      </c>
      <c r="H27" s="431"/>
      <c r="I27" s="432"/>
      <c r="J27" s="23"/>
      <c r="K27" s="23"/>
      <c r="M27" s="24"/>
    </row>
    <row r="28" spans="2:14" ht="30" customHeight="1" x14ac:dyDescent="0.15">
      <c r="B28" s="436" t="s">
        <v>147</v>
      </c>
      <c r="C28" s="437"/>
      <c r="D28" s="437"/>
      <c r="E28" s="437"/>
      <c r="F28" s="437"/>
      <c r="G28" s="437"/>
      <c r="H28" s="437"/>
      <c r="I28" s="438"/>
      <c r="J28" s="40"/>
      <c r="K28" s="40"/>
      <c r="M28" s="24"/>
    </row>
    <row r="29" spans="2:14" ht="56.25" customHeight="1" x14ac:dyDescent="0.15">
      <c r="B29" s="190" t="s">
        <v>148</v>
      </c>
      <c r="C29" s="191" t="s">
        <v>149</v>
      </c>
      <c r="D29" s="191" t="s">
        <v>150</v>
      </c>
      <c r="E29" s="191" t="s">
        <v>151</v>
      </c>
      <c r="F29" s="191" t="s">
        <v>152</v>
      </c>
      <c r="G29" s="192" t="s">
        <v>153</v>
      </c>
      <c r="H29" s="192" t="s">
        <v>154</v>
      </c>
      <c r="I29" s="193" t="s">
        <v>155</v>
      </c>
      <c r="J29" s="51" t="s">
        <v>156</v>
      </c>
      <c r="K29" s="21"/>
      <c r="M29" s="24"/>
    </row>
    <row r="30" spans="2:14" ht="19.5" customHeight="1" x14ac:dyDescent="0.15">
      <c r="B30" s="194" t="s">
        <v>157</v>
      </c>
      <c r="C30" s="251">
        <v>0</v>
      </c>
      <c r="D30" s="252">
        <f>+C30</f>
        <v>0</v>
      </c>
      <c r="E30" s="253">
        <v>0</v>
      </c>
      <c r="F30" s="254">
        <f>+E30</f>
        <v>0</v>
      </c>
      <c r="G30" s="255" t="e">
        <f>+C30/E30</f>
        <v>#DIV/0!</v>
      </c>
      <c r="H30" s="256" t="e">
        <f>+D30/F30</f>
        <v>#DIV/0!</v>
      </c>
      <c r="I30" s="257" t="e">
        <f>+D30/$G$26</f>
        <v>#DIV/0!</v>
      </c>
      <c r="J30" s="50">
        <v>0.99</v>
      </c>
      <c r="K30" s="27"/>
      <c r="M30" s="24"/>
    </row>
    <row r="31" spans="2:14" ht="19.5" customHeight="1" x14ac:dyDescent="0.15">
      <c r="B31" s="194" t="s">
        <v>158</v>
      </c>
      <c r="C31" s="251">
        <v>0</v>
      </c>
      <c r="D31" s="252">
        <f>+D30+C31</f>
        <v>0</v>
      </c>
      <c r="E31" s="253">
        <v>0</v>
      </c>
      <c r="F31" s="254">
        <f>+F30+E31</f>
        <v>0</v>
      </c>
      <c r="G31" s="255" t="e">
        <f t="shared" ref="G31:G41" si="0">+C31/E31</f>
        <v>#DIV/0!</v>
      </c>
      <c r="H31" s="256" t="e">
        <f t="shared" ref="H31:H41" si="1">+D31/F31</f>
        <v>#DIV/0!</v>
      </c>
      <c r="I31" s="257" t="e">
        <f t="shared" ref="I31:I40" si="2">+D31/$G$26</f>
        <v>#DIV/0!</v>
      </c>
      <c r="J31" s="50">
        <v>0.99</v>
      </c>
      <c r="K31" s="27"/>
      <c r="M31" s="24"/>
    </row>
    <row r="32" spans="2:14" ht="19.5" customHeight="1" x14ac:dyDescent="0.15">
      <c r="B32" s="194" t="s">
        <v>159</v>
      </c>
      <c r="C32" s="251">
        <v>0</v>
      </c>
      <c r="D32" s="252">
        <f t="shared" ref="D32:D41" si="3">+D31+C32</f>
        <v>0</v>
      </c>
      <c r="E32" s="253">
        <v>0</v>
      </c>
      <c r="F32" s="254">
        <f t="shared" ref="F32:F41" si="4">+F31+E32</f>
        <v>0</v>
      </c>
      <c r="G32" s="255" t="e">
        <f t="shared" si="0"/>
        <v>#DIV/0!</v>
      </c>
      <c r="H32" s="256" t="e">
        <f t="shared" si="1"/>
        <v>#DIV/0!</v>
      </c>
      <c r="I32" s="257" t="e">
        <f t="shared" si="2"/>
        <v>#DIV/0!</v>
      </c>
      <c r="J32" s="50">
        <v>0.99</v>
      </c>
      <c r="K32" s="27"/>
      <c r="M32" s="24"/>
    </row>
    <row r="33" spans="2:11" ht="19.5" customHeight="1" x14ac:dyDescent="0.15">
      <c r="B33" s="194" t="s">
        <v>160</v>
      </c>
      <c r="C33" s="251">
        <v>0</v>
      </c>
      <c r="D33" s="252">
        <f t="shared" si="3"/>
        <v>0</v>
      </c>
      <c r="E33" s="253">
        <v>0</v>
      </c>
      <c r="F33" s="254">
        <f t="shared" si="4"/>
        <v>0</v>
      </c>
      <c r="G33" s="255" t="e">
        <f t="shared" si="0"/>
        <v>#DIV/0!</v>
      </c>
      <c r="H33" s="256" t="e">
        <f t="shared" si="1"/>
        <v>#DIV/0!</v>
      </c>
      <c r="I33" s="257" t="e">
        <f t="shared" si="2"/>
        <v>#DIV/0!</v>
      </c>
      <c r="J33" s="50">
        <v>0.99</v>
      </c>
      <c r="K33" s="27"/>
    </row>
    <row r="34" spans="2:11" ht="19.5" customHeight="1" x14ac:dyDescent="0.15">
      <c r="B34" s="194" t="s">
        <v>161</v>
      </c>
      <c r="C34" s="251">
        <v>0</v>
      </c>
      <c r="D34" s="252">
        <f t="shared" si="3"/>
        <v>0</v>
      </c>
      <c r="E34" s="253">
        <v>0</v>
      </c>
      <c r="F34" s="254">
        <f t="shared" si="4"/>
        <v>0</v>
      </c>
      <c r="G34" s="255" t="e">
        <f t="shared" si="0"/>
        <v>#DIV/0!</v>
      </c>
      <c r="H34" s="256" t="e">
        <f t="shared" si="1"/>
        <v>#DIV/0!</v>
      </c>
      <c r="I34" s="257" t="e">
        <f t="shared" si="2"/>
        <v>#DIV/0!</v>
      </c>
      <c r="J34" s="50">
        <v>0.99</v>
      </c>
      <c r="K34" s="27"/>
    </row>
    <row r="35" spans="2:11" ht="19.5" customHeight="1" x14ac:dyDescent="0.15">
      <c r="B35" s="194" t="s">
        <v>162</v>
      </c>
      <c r="C35" s="251">
        <v>0</v>
      </c>
      <c r="D35" s="252">
        <f t="shared" si="3"/>
        <v>0</v>
      </c>
      <c r="E35" s="253">
        <v>0</v>
      </c>
      <c r="F35" s="254">
        <f t="shared" si="4"/>
        <v>0</v>
      </c>
      <c r="G35" s="255" t="e">
        <f t="shared" si="0"/>
        <v>#DIV/0!</v>
      </c>
      <c r="H35" s="256" t="e">
        <f t="shared" si="1"/>
        <v>#DIV/0!</v>
      </c>
      <c r="I35" s="257" t="e">
        <f t="shared" si="2"/>
        <v>#DIV/0!</v>
      </c>
      <c r="J35" s="50">
        <v>0.99</v>
      </c>
      <c r="K35" s="27"/>
    </row>
    <row r="36" spans="2:11" ht="19.5" customHeight="1" x14ac:dyDescent="0.15">
      <c r="B36" s="194" t="s">
        <v>163</v>
      </c>
      <c r="C36" s="251">
        <v>0</v>
      </c>
      <c r="D36" s="252">
        <f t="shared" si="3"/>
        <v>0</v>
      </c>
      <c r="E36" s="253">
        <v>0</v>
      </c>
      <c r="F36" s="254">
        <f t="shared" si="4"/>
        <v>0</v>
      </c>
      <c r="G36" s="255" t="e">
        <f t="shared" si="0"/>
        <v>#DIV/0!</v>
      </c>
      <c r="H36" s="256" t="e">
        <f t="shared" si="1"/>
        <v>#DIV/0!</v>
      </c>
      <c r="I36" s="257" t="e">
        <f t="shared" si="2"/>
        <v>#DIV/0!</v>
      </c>
      <c r="J36" s="50">
        <v>0.99</v>
      </c>
      <c r="K36" s="27"/>
    </row>
    <row r="37" spans="2:11" ht="19.5" customHeight="1" x14ac:dyDescent="0.15">
      <c r="B37" s="194" t="s">
        <v>164</v>
      </c>
      <c r="C37" s="251">
        <v>0</v>
      </c>
      <c r="D37" s="252">
        <f t="shared" si="3"/>
        <v>0</v>
      </c>
      <c r="E37" s="253">
        <v>0</v>
      </c>
      <c r="F37" s="254">
        <f t="shared" si="4"/>
        <v>0</v>
      </c>
      <c r="G37" s="255" t="e">
        <f t="shared" si="0"/>
        <v>#DIV/0!</v>
      </c>
      <c r="H37" s="256" t="e">
        <f t="shared" si="1"/>
        <v>#DIV/0!</v>
      </c>
      <c r="I37" s="257" t="e">
        <f t="shared" si="2"/>
        <v>#DIV/0!</v>
      </c>
      <c r="J37" s="50">
        <v>0.99</v>
      </c>
      <c r="K37" s="27"/>
    </row>
    <row r="38" spans="2:11" ht="19.5" customHeight="1" x14ac:dyDescent="0.15">
      <c r="B38" s="194" t="s">
        <v>165</v>
      </c>
      <c r="C38" s="251">
        <v>0</v>
      </c>
      <c r="D38" s="252">
        <f t="shared" si="3"/>
        <v>0</v>
      </c>
      <c r="E38" s="253">
        <v>0</v>
      </c>
      <c r="F38" s="254">
        <f t="shared" si="4"/>
        <v>0</v>
      </c>
      <c r="G38" s="255" t="e">
        <f t="shared" si="0"/>
        <v>#DIV/0!</v>
      </c>
      <c r="H38" s="256" t="e">
        <f t="shared" si="1"/>
        <v>#DIV/0!</v>
      </c>
      <c r="I38" s="257" t="e">
        <f t="shared" si="2"/>
        <v>#DIV/0!</v>
      </c>
      <c r="J38" s="50">
        <v>0.99</v>
      </c>
      <c r="K38" s="27"/>
    </row>
    <row r="39" spans="2:11" ht="19.5" customHeight="1" x14ac:dyDescent="0.15">
      <c r="B39" s="194" t="s">
        <v>166</v>
      </c>
      <c r="C39" s="251">
        <v>0</v>
      </c>
      <c r="D39" s="252">
        <f t="shared" si="3"/>
        <v>0</v>
      </c>
      <c r="E39" s="253">
        <v>0</v>
      </c>
      <c r="F39" s="254">
        <f t="shared" si="4"/>
        <v>0</v>
      </c>
      <c r="G39" s="255" t="e">
        <f t="shared" si="0"/>
        <v>#DIV/0!</v>
      </c>
      <c r="H39" s="256" t="e">
        <f t="shared" si="1"/>
        <v>#DIV/0!</v>
      </c>
      <c r="I39" s="257" t="e">
        <f t="shared" si="2"/>
        <v>#DIV/0!</v>
      </c>
      <c r="J39" s="50">
        <v>0.99</v>
      </c>
      <c r="K39" s="27"/>
    </row>
    <row r="40" spans="2:11" ht="19.5" customHeight="1" x14ac:dyDescent="0.15">
      <c r="B40" s="194" t="s">
        <v>167</v>
      </c>
      <c r="C40" s="251">
        <v>0</v>
      </c>
      <c r="D40" s="252">
        <f t="shared" si="3"/>
        <v>0</v>
      </c>
      <c r="E40" s="253">
        <v>0</v>
      </c>
      <c r="F40" s="254">
        <f t="shared" si="4"/>
        <v>0</v>
      </c>
      <c r="G40" s="255" t="e">
        <f t="shared" si="0"/>
        <v>#DIV/0!</v>
      </c>
      <c r="H40" s="256" t="e">
        <f t="shared" si="1"/>
        <v>#DIV/0!</v>
      </c>
      <c r="I40" s="257" t="e">
        <f t="shared" si="2"/>
        <v>#DIV/0!</v>
      </c>
      <c r="J40" s="50">
        <v>0.99</v>
      </c>
      <c r="K40" s="27"/>
    </row>
    <row r="41" spans="2:11" ht="19.5" customHeight="1" x14ac:dyDescent="0.15">
      <c r="B41" s="194" t="s">
        <v>168</v>
      </c>
      <c r="C41" s="251">
        <v>0</v>
      </c>
      <c r="D41" s="252">
        <f t="shared" si="3"/>
        <v>0</v>
      </c>
      <c r="E41" s="253">
        <v>0</v>
      </c>
      <c r="F41" s="254">
        <f t="shared" si="4"/>
        <v>0</v>
      </c>
      <c r="G41" s="255" t="e">
        <f t="shared" si="0"/>
        <v>#DIV/0!</v>
      </c>
      <c r="H41" s="256" t="e">
        <f t="shared" si="1"/>
        <v>#DIV/0!</v>
      </c>
      <c r="I41" s="257" t="e">
        <f>+D41/$G$26</f>
        <v>#DIV/0!</v>
      </c>
      <c r="J41" s="50">
        <v>0.99</v>
      </c>
      <c r="K41" s="27"/>
    </row>
    <row r="42" spans="2:11" ht="54.75" customHeight="1" x14ac:dyDescent="0.15">
      <c r="B42" s="202" t="s">
        <v>169</v>
      </c>
      <c r="C42" s="441"/>
      <c r="D42" s="441"/>
      <c r="E42" s="441"/>
      <c r="F42" s="441"/>
      <c r="G42" s="441"/>
      <c r="H42" s="441"/>
      <c r="I42" s="442"/>
      <c r="J42" s="28"/>
      <c r="K42" s="28"/>
    </row>
    <row r="43" spans="2:11" ht="29.25" customHeight="1" x14ac:dyDescent="0.15">
      <c r="B43" s="436" t="s">
        <v>170</v>
      </c>
      <c r="C43" s="437"/>
      <c r="D43" s="437"/>
      <c r="E43" s="437"/>
      <c r="F43" s="437"/>
      <c r="G43" s="437"/>
      <c r="H43" s="437"/>
      <c r="I43" s="438"/>
      <c r="J43" s="40"/>
      <c r="K43" s="40"/>
    </row>
    <row r="44" spans="2:11" ht="32.25" customHeight="1" x14ac:dyDescent="0.15">
      <c r="B44" s="411"/>
      <c r="C44" s="412"/>
      <c r="D44" s="412"/>
      <c r="E44" s="412"/>
      <c r="F44" s="412"/>
      <c r="G44" s="412"/>
      <c r="H44" s="412"/>
      <c r="I44" s="413"/>
      <c r="J44" s="40"/>
      <c r="K44" s="40"/>
    </row>
    <row r="45" spans="2:11" ht="32.25" customHeight="1" x14ac:dyDescent="0.15">
      <c r="B45" s="414"/>
      <c r="C45" s="415"/>
      <c r="D45" s="415"/>
      <c r="E45" s="415"/>
      <c r="F45" s="415"/>
      <c r="G45" s="415"/>
      <c r="H45" s="415"/>
      <c r="I45" s="416"/>
      <c r="J45" s="28"/>
      <c r="K45" s="28"/>
    </row>
    <row r="46" spans="2:11" ht="32.25" customHeight="1" x14ac:dyDescent="0.15">
      <c r="B46" s="414"/>
      <c r="C46" s="415"/>
      <c r="D46" s="415"/>
      <c r="E46" s="415"/>
      <c r="F46" s="415"/>
      <c r="G46" s="415"/>
      <c r="H46" s="415"/>
      <c r="I46" s="416"/>
      <c r="J46" s="28"/>
      <c r="K46" s="28"/>
    </row>
    <row r="47" spans="2:11" ht="32.25" customHeight="1" x14ac:dyDescent="0.15">
      <c r="B47" s="414"/>
      <c r="C47" s="415"/>
      <c r="D47" s="415"/>
      <c r="E47" s="415"/>
      <c r="F47" s="415"/>
      <c r="G47" s="415"/>
      <c r="H47" s="415"/>
      <c r="I47" s="416"/>
      <c r="J47" s="28"/>
      <c r="K47" s="28"/>
    </row>
    <row r="48" spans="2:11" ht="32.25" customHeight="1" x14ac:dyDescent="0.15">
      <c r="B48" s="417"/>
      <c r="C48" s="418"/>
      <c r="D48" s="418"/>
      <c r="E48" s="418"/>
      <c r="F48" s="418"/>
      <c r="G48" s="418"/>
      <c r="H48" s="418"/>
      <c r="I48" s="419"/>
      <c r="J48" s="12"/>
      <c r="K48" s="12"/>
    </row>
    <row r="49" spans="2:11" ht="79.5" customHeight="1" x14ac:dyDescent="0.15">
      <c r="B49" s="184" t="s">
        <v>171</v>
      </c>
      <c r="C49" s="843"/>
      <c r="D49" s="844"/>
      <c r="E49" s="844"/>
      <c r="F49" s="844"/>
      <c r="G49" s="844"/>
      <c r="H49" s="844"/>
      <c r="I49" s="845"/>
      <c r="J49" s="29"/>
      <c r="K49" s="29"/>
    </row>
    <row r="50" spans="2:11" ht="26.25" customHeight="1" x14ac:dyDescent="0.15">
      <c r="B50" s="184" t="s">
        <v>172</v>
      </c>
      <c r="C50" s="846"/>
      <c r="D50" s="847"/>
      <c r="E50" s="847"/>
      <c r="F50" s="847"/>
      <c r="G50" s="847"/>
      <c r="H50" s="847"/>
      <c r="I50" s="848"/>
      <c r="J50" s="29"/>
      <c r="K50" s="29"/>
    </row>
    <row r="51" spans="2:11" ht="64.5" customHeight="1" x14ac:dyDescent="0.15">
      <c r="B51" s="203" t="s">
        <v>173</v>
      </c>
      <c r="C51" s="843"/>
      <c r="D51" s="844"/>
      <c r="E51" s="844"/>
      <c r="F51" s="844"/>
      <c r="G51" s="844"/>
      <c r="H51" s="844"/>
      <c r="I51" s="845"/>
      <c r="J51" s="29"/>
      <c r="K51" s="29"/>
    </row>
    <row r="52" spans="2:11" ht="29.25" customHeight="1" x14ac:dyDescent="0.15">
      <c r="B52" s="436" t="s">
        <v>174</v>
      </c>
      <c r="C52" s="437"/>
      <c r="D52" s="437"/>
      <c r="E52" s="437"/>
      <c r="F52" s="437"/>
      <c r="G52" s="437"/>
      <c r="H52" s="437"/>
      <c r="I52" s="438"/>
      <c r="J52" s="29"/>
      <c r="K52" s="29"/>
    </row>
    <row r="53" spans="2:11" ht="33" customHeight="1" x14ac:dyDescent="0.15">
      <c r="B53" s="446" t="s">
        <v>175</v>
      </c>
      <c r="C53" s="204" t="s">
        <v>176</v>
      </c>
      <c r="D53" s="447" t="s">
        <v>177</v>
      </c>
      <c r="E53" s="447"/>
      <c r="F53" s="447"/>
      <c r="G53" s="447" t="s">
        <v>178</v>
      </c>
      <c r="H53" s="447"/>
      <c r="I53" s="448"/>
      <c r="J53" s="30"/>
      <c r="K53" s="30"/>
    </row>
    <row r="54" spans="2:11" ht="31.5" customHeight="1" x14ac:dyDescent="0.15">
      <c r="B54" s="446"/>
      <c r="C54" s="258"/>
      <c r="D54" s="441"/>
      <c r="E54" s="441"/>
      <c r="F54" s="441"/>
      <c r="G54" s="449"/>
      <c r="H54" s="449"/>
      <c r="I54" s="450"/>
      <c r="J54" s="30"/>
      <c r="K54" s="30"/>
    </row>
    <row r="55" spans="2:11" ht="31.5" customHeight="1" x14ac:dyDescent="0.15">
      <c r="B55" s="203" t="s">
        <v>179</v>
      </c>
      <c r="C55" s="841" t="s">
        <v>438</v>
      </c>
      <c r="D55" s="842"/>
      <c r="E55" s="463" t="s">
        <v>181</v>
      </c>
      <c r="F55" s="463"/>
      <c r="G55" s="462" t="s">
        <v>439</v>
      </c>
      <c r="H55" s="462"/>
      <c r="I55" s="464"/>
      <c r="J55" s="31"/>
      <c r="K55" s="31"/>
    </row>
    <row r="56" spans="2:11" ht="31.5" customHeight="1" x14ac:dyDescent="0.15">
      <c r="B56" s="203" t="s">
        <v>183</v>
      </c>
      <c r="C56" s="441" t="s">
        <v>184</v>
      </c>
      <c r="D56" s="441"/>
      <c r="E56" s="465" t="s">
        <v>185</v>
      </c>
      <c r="F56" s="465"/>
      <c r="G56" s="462" t="s">
        <v>186</v>
      </c>
      <c r="H56" s="462"/>
      <c r="I56" s="464"/>
      <c r="J56" s="31"/>
      <c r="K56" s="31"/>
    </row>
    <row r="57" spans="2:11" ht="31.5" customHeight="1" x14ac:dyDescent="0.15">
      <c r="B57" s="203" t="s">
        <v>187</v>
      </c>
      <c r="C57" s="441"/>
      <c r="D57" s="441"/>
      <c r="E57" s="451" t="s">
        <v>188</v>
      </c>
      <c r="F57" s="452"/>
      <c r="G57" s="455"/>
      <c r="H57" s="456"/>
      <c r="I57" s="457"/>
      <c r="J57" s="32"/>
      <c r="K57" s="32"/>
    </row>
    <row r="58" spans="2:11" ht="31.5" customHeight="1" thickBot="1" x14ac:dyDescent="0.2">
      <c r="B58" s="206" t="s">
        <v>189</v>
      </c>
      <c r="C58" s="461"/>
      <c r="D58" s="461"/>
      <c r="E58" s="453"/>
      <c r="F58" s="454"/>
      <c r="G58" s="458"/>
      <c r="H58" s="459"/>
      <c r="I58" s="460"/>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B2:B5"/>
    <mergeCell ref="C2:H2"/>
    <mergeCell ref="I2:I5"/>
    <mergeCell ref="C3:H3"/>
    <mergeCell ref="C4:H4"/>
    <mergeCell ref="C5:F5"/>
    <mergeCell ref="G5:H5"/>
    <mergeCell ref="B6:I6"/>
    <mergeCell ref="B7:I7"/>
    <mergeCell ref="B8:I8"/>
    <mergeCell ref="D9:E9"/>
    <mergeCell ref="F9:I9"/>
    <mergeCell ref="D10:E10"/>
    <mergeCell ref="F10:G10"/>
    <mergeCell ref="C11:F11"/>
    <mergeCell ref="H11:I11"/>
    <mergeCell ref="C12:F12"/>
    <mergeCell ref="H12:I12"/>
    <mergeCell ref="C13:I13"/>
    <mergeCell ref="C14:I14"/>
    <mergeCell ref="C15:F15"/>
    <mergeCell ref="H15:I15"/>
    <mergeCell ref="C16:F16"/>
    <mergeCell ref="H16:I16"/>
    <mergeCell ref="C17:I17"/>
    <mergeCell ref="C18:I18"/>
    <mergeCell ref="C19:I19"/>
    <mergeCell ref="C20:I20"/>
    <mergeCell ref="B21:B22"/>
    <mergeCell ref="C21:E21"/>
    <mergeCell ref="F21:I21"/>
    <mergeCell ref="C22:E22"/>
    <mergeCell ref="F22:I22"/>
    <mergeCell ref="C23:E23"/>
    <mergeCell ref="F23:I23"/>
    <mergeCell ref="C24:E24"/>
    <mergeCell ref="F24:I24"/>
    <mergeCell ref="C25:E25"/>
    <mergeCell ref="G25:I25"/>
    <mergeCell ref="C26:E26"/>
    <mergeCell ref="G26:I26"/>
    <mergeCell ref="C27:E27"/>
    <mergeCell ref="G27:I27"/>
    <mergeCell ref="B28:I28"/>
    <mergeCell ref="C42:I42"/>
    <mergeCell ref="B43:I43"/>
    <mergeCell ref="B44:I48"/>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5.6640625" customWidth="1"/>
    <col min="6" max="6" width="47" customWidth="1"/>
    <col min="7" max="8" width="16.1640625" customWidth="1"/>
    <col min="9" max="9" width="16.33203125" customWidth="1"/>
    <col min="10" max="10" width="15.6640625" customWidth="1"/>
    <col min="11" max="11" width="20" customWidth="1"/>
    <col min="13" max="13" width="17.6640625" bestFit="1" customWidth="1"/>
    <col min="108" max="108" width="11.5" customWidth="1"/>
    <col min="198" max="198" width="1.5" customWidth="1"/>
  </cols>
  <sheetData>
    <row r="1" spans="2:11" ht="18" customHeight="1" thickBot="1" x14ac:dyDescent="0.25">
      <c r="B1" s="470"/>
      <c r="C1" s="473" t="s">
        <v>0</v>
      </c>
      <c r="D1" s="474"/>
      <c r="E1" s="474"/>
      <c r="F1" s="474"/>
      <c r="G1" s="474"/>
      <c r="H1" s="475"/>
      <c r="I1" s="476"/>
      <c r="J1" s="477"/>
    </row>
    <row r="2" spans="2:11" ht="18" customHeight="1" thickBot="1" x14ac:dyDescent="0.25">
      <c r="B2" s="471"/>
      <c r="C2" s="473" t="s">
        <v>1</v>
      </c>
      <c r="D2" s="474"/>
      <c r="E2" s="474"/>
      <c r="F2" s="474"/>
      <c r="G2" s="474"/>
      <c r="H2" s="475"/>
      <c r="I2" s="478"/>
      <c r="J2" s="479"/>
    </row>
    <row r="3" spans="2:11" ht="18" customHeight="1" thickBot="1" x14ac:dyDescent="0.25">
      <c r="B3" s="471"/>
      <c r="C3" s="473" t="s">
        <v>440</v>
      </c>
      <c r="D3" s="474"/>
      <c r="E3" s="474"/>
      <c r="F3" s="474"/>
      <c r="G3" s="474"/>
      <c r="H3" s="475"/>
      <c r="I3" s="478"/>
      <c r="J3" s="479"/>
    </row>
    <row r="4" spans="2:11" ht="18" customHeight="1" thickBot="1" x14ac:dyDescent="0.25">
      <c r="B4" s="472"/>
      <c r="C4" s="473" t="s">
        <v>191</v>
      </c>
      <c r="D4" s="474"/>
      <c r="E4" s="474"/>
      <c r="F4" s="475"/>
      <c r="G4" s="482" t="s">
        <v>192</v>
      </c>
      <c r="H4" s="483"/>
      <c r="I4" s="480"/>
      <c r="J4" s="481"/>
    </row>
    <row r="5" spans="2:11" ht="18" customHeight="1" thickBot="1" x14ac:dyDescent="0.25">
      <c r="B5" s="35"/>
      <c r="C5" s="10"/>
      <c r="D5" s="10"/>
      <c r="E5" s="10"/>
      <c r="F5" s="10"/>
      <c r="G5" s="10"/>
      <c r="H5" s="10"/>
      <c r="I5" s="10"/>
      <c r="J5" s="36"/>
    </row>
    <row r="6" spans="2:11" ht="51.75" customHeight="1" thickBot="1" x14ac:dyDescent="0.25">
      <c r="B6" s="1" t="s">
        <v>441</v>
      </c>
      <c r="C6" s="486" t="s">
        <v>39</v>
      </c>
      <c r="D6" s="487"/>
      <c r="E6" s="488"/>
      <c r="F6" s="37"/>
      <c r="G6" s="10"/>
      <c r="H6" s="10"/>
      <c r="I6" s="10"/>
      <c r="J6" s="36"/>
    </row>
    <row r="7" spans="2:11" ht="32.25" customHeight="1" thickBot="1" x14ac:dyDescent="0.25">
      <c r="B7" s="2" t="s">
        <v>194</v>
      </c>
      <c r="C7" s="486" t="s">
        <v>86</v>
      </c>
      <c r="D7" s="487"/>
      <c r="E7" s="488"/>
      <c r="F7" s="37"/>
      <c r="G7" s="10"/>
      <c r="H7" s="10"/>
      <c r="I7" s="10"/>
      <c r="J7" s="36"/>
    </row>
    <row r="8" spans="2:11" ht="32.25" customHeight="1" thickBot="1" x14ac:dyDescent="0.25">
      <c r="B8" s="2" t="s">
        <v>195</v>
      </c>
      <c r="C8" s="486" t="s">
        <v>196</v>
      </c>
      <c r="D8" s="487"/>
      <c r="E8" s="488"/>
      <c r="F8" s="4"/>
      <c r="G8" s="10"/>
      <c r="H8" s="10"/>
      <c r="I8" s="10"/>
      <c r="J8" s="36"/>
    </row>
    <row r="9" spans="2:11" ht="33.75" customHeight="1" thickBot="1" x14ac:dyDescent="0.25">
      <c r="B9" s="2" t="s">
        <v>197</v>
      </c>
      <c r="C9" s="486" t="s">
        <v>186</v>
      </c>
      <c r="D9" s="487"/>
      <c r="E9" s="488"/>
      <c r="F9" s="37"/>
      <c r="G9" s="10"/>
      <c r="H9" s="10"/>
      <c r="I9" s="10"/>
      <c r="J9" s="36"/>
    </row>
    <row r="10" spans="2:11" ht="33.75" customHeight="1" thickBot="1" x14ac:dyDescent="0.25">
      <c r="B10" s="64" t="s">
        <v>198</v>
      </c>
      <c r="C10" s="486" t="s">
        <v>442</v>
      </c>
      <c r="D10" s="487"/>
      <c r="E10" s="488"/>
      <c r="F10" s="37"/>
      <c r="G10" s="10"/>
      <c r="H10" s="10"/>
      <c r="I10" s="10"/>
      <c r="J10" s="36"/>
    </row>
    <row r="11" spans="2:11" ht="34.5" customHeight="1" x14ac:dyDescent="0.2"/>
    <row r="12" spans="2:11" ht="21.75" customHeight="1" x14ac:dyDescent="0.2">
      <c r="B12" s="496" t="s">
        <v>443</v>
      </c>
      <c r="C12" s="497"/>
      <c r="D12" s="497"/>
      <c r="E12" s="497"/>
      <c r="F12" s="497"/>
      <c r="G12" s="497"/>
      <c r="H12" s="498"/>
      <c r="I12" s="875" t="s">
        <v>200</v>
      </c>
      <c r="J12" s="876"/>
      <c r="K12" s="876"/>
    </row>
    <row r="13" spans="2:11" s="39" customFormat="1" ht="30" customHeight="1" x14ac:dyDescent="0.2">
      <c r="B13" s="259" t="s">
        <v>201</v>
      </c>
      <c r="C13" s="259" t="s">
        <v>202</v>
      </c>
      <c r="D13" s="259" t="s">
        <v>203</v>
      </c>
      <c r="E13" s="259" t="s">
        <v>204</v>
      </c>
      <c r="F13" s="259" t="s">
        <v>205</v>
      </c>
      <c r="G13" s="259" t="s">
        <v>206</v>
      </c>
      <c r="H13" s="259" t="s">
        <v>207</v>
      </c>
      <c r="I13" s="260" t="s">
        <v>208</v>
      </c>
      <c r="J13" s="260" t="s">
        <v>209</v>
      </c>
      <c r="K13" s="260" t="s">
        <v>210</v>
      </c>
    </row>
    <row r="14" spans="2:11" s="39" customFormat="1" x14ac:dyDescent="0.2">
      <c r="B14" s="261"/>
      <c r="C14" s="262"/>
      <c r="D14" s="263"/>
      <c r="E14" s="264"/>
      <c r="F14" s="262"/>
      <c r="G14" s="263"/>
      <c r="H14" s="265"/>
      <c r="I14" s="266"/>
      <c r="J14" s="267"/>
      <c r="K14" s="264"/>
    </row>
    <row r="15" spans="2:11" ht="165" customHeight="1" x14ac:dyDescent="0.2">
      <c r="B15" s="261"/>
      <c r="C15" s="268"/>
      <c r="D15" s="263"/>
      <c r="E15" s="269"/>
      <c r="F15" s="270"/>
      <c r="G15" s="263"/>
      <c r="H15" s="265"/>
      <c r="I15" s="266"/>
      <c r="J15" s="267"/>
      <c r="K15" s="873"/>
    </row>
    <row r="16" spans="2:11" x14ac:dyDescent="0.2">
      <c r="B16" s="261"/>
      <c r="C16" s="262"/>
      <c r="D16" s="263"/>
      <c r="E16" s="264"/>
      <c r="F16" s="262"/>
      <c r="G16" s="263"/>
      <c r="H16" s="265"/>
      <c r="I16" s="266"/>
      <c r="J16" s="267"/>
      <c r="K16" s="874"/>
    </row>
    <row r="17" spans="2:12" x14ac:dyDescent="0.2">
      <c r="B17" s="261"/>
      <c r="C17" s="271"/>
      <c r="D17" s="263"/>
      <c r="E17" s="264"/>
      <c r="F17" s="271"/>
      <c r="G17" s="263"/>
      <c r="H17" s="272"/>
      <c r="I17" s="266"/>
      <c r="J17" s="267"/>
      <c r="K17" s="264"/>
    </row>
    <row r="18" spans="2:12" x14ac:dyDescent="0.2">
      <c r="B18" s="261"/>
      <c r="C18" s="271"/>
      <c r="D18" s="263"/>
      <c r="E18" s="264"/>
      <c r="F18" s="271"/>
      <c r="G18" s="263"/>
      <c r="H18" s="272"/>
      <c r="I18" s="273"/>
      <c r="J18" s="267"/>
      <c r="K18" s="274"/>
    </row>
    <row r="19" spans="2:12" ht="15" customHeight="1" x14ac:dyDescent="0.2">
      <c r="B19" s="869" t="s">
        <v>217</v>
      </c>
      <c r="C19" s="870"/>
      <c r="D19" s="275">
        <f>SUM(D15:D16)</f>
        <v>0</v>
      </c>
      <c r="E19" s="871" t="s">
        <v>217</v>
      </c>
      <c r="F19" s="872"/>
      <c r="G19" s="275">
        <v>1</v>
      </c>
      <c r="H19" s="276"/>
      <c r="I19" s="277">
        <f>SUM(I14:I18)</f>
        <v>0</v>
      </c>
      <c r="J19" s="278"/>
      <c r="K19" s="278"/>
    </row>
    <row r="23" spans="2:12" x14ac:dyDescent="0.2">
      <c r="L23" s="78"/>
    </row>
    <row r="24" spans="2:12" x14ac:dyDescent="0.2">
      <c r="L24" s="78"/>
    </row>
    <row r="25" spans="2:12" x14ac:dyDescent="0.2">
      <c r="L25" s="78"/>
    </row>
    <row r="26" spans="2:12" x14ac:dyDescent="0.2">
      <c r="L26" s="78"/>
    </row>
    <row r="27" spans="2:12" x14ac:dyDescent="0.2">
      <c r="L27" s="78"/>
    </row>
    <row r="28" spans="2:12" x14ac:dyDescent="0.2">
      <c r="L28" s="78"/>
    </row>
    <row r="30" spans="2:12" x14ac:dyDescent="0.2">
      <c r="L30" s="79"/>
    </row>
  </sheetData>
  <mergeCells count="17">
    <mergeCell ref="B1:B4"/>
    <mergeCell ref="C1:H1"/>
    <mergeCell ref="I1:J4"/>
    <mergeCell ref="C2:H2"/>
    <mergeCell ref="C3:H3"/>
    <mergeCell ref="C4:F4"/>
    <mergeCell ref="G4:H4"/>
    <mergeCell ref="C8:E8"/>
    <mergeCell ref="C9:E9"/>
    <mergeCell ref="B12:H12"/>
    <mergeCell ref="C6:E6"/>
    <mergeCell ref="C7:E7"/>
    <mergeCell ref="B19:C19"/>
    <mergeCell ref="E19:F19"/>
    <mergeCell ref="K15:K16"/>
    <mergeCell ref="C10:E10"/>
    <mergeCell ref="I12:K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ColWidth="11.5" defaultRowHeight="15" x14ac:dyDescent="0.2"/>
  <sheetData>
    <row r="9" spans="10:12" x14ac:dyDescent="0.2">
      <c r="K9" s="279" t="s">
        <v>444</v>
      </c>
      <c r="L9" s="279" t="s">
        <v>445</v>
      </c>
    </row>
    <row r="10" spans="10:12" x14ac:dyDescent="0.2">
      <c r="J10" s="280" t="s">
        <v>446</v>
      </c>
      <c r="K10" s="280">
        <v>77</v>
      </c>
      <c r="L10" s="280">
        <v>2</v>
      </c>
    </row>
    <row r="11" spans="10:12" x14ac:dyDescent="0.2">
      <c r="J11" s="217"/>
      <c r="K11" s="217"/>
      <c r="L11" s="217">
        <v>37</v>
      </c>
    </row>
    <row r="12" spans="10:12" x14ac:dyDescent="0.2">
      <c r="J12" s="217"/>
      <c r="K12" s="217"/>
      <c r="L12" s="217">
        <v>43</v>
      </c>
    </row>
    <row r="13" spans="10:12" x14ac:dyDescent="0.2">
      <c r="K13" s="217" t="s">
        <v>447</v>
      </c>
      <c r="L13" s="281">
        <f>SUM(L10:L12)</f>
        <v>82</v>
      </c>
    </row>
    <row r="14" spans="10:12" x14ac:dyDescent="0.2">
      <c r="J14" s="280" t="s">
        <v>448</v>
      </c>
      <c r="K14" s="280">
        <v>115</v>
      </c>
      <c r="L14" s="280">
        <v>16</v>
      </c>
    </row>
    <row r="15" spans="10:12" x14ac:dyDescent="0.2">
      <c r="J15" s="217"/>
      <c r="K15" s="217"/>
      <c r="L15" s="217">
        <v>27</v>
      </c>
    </row>
    <row r="16" spans="10:12" x14ac:dyDescent="0.2">
      <c r="J16" s="217"/>
      <c r="K16" s="217"/>
      <c r="L16" s="217">
        <v>10</v>
      </c>
    </row>
    <row r="17" spans="10:14" x14ac:dyDescent="0.2">
      <c r="J17" s="217"/>
      <c r="K17" s="217" t="s">
        <v>447</v>
      </c>
      <c r="L17" s="281">
        <f>SUM(L14:L16)</f>
        <v>53</v>
      </c>
    </row>
    <row r="18" spans="10:14" x14ac:dyDescent="0.2">
      <c r="J18" s="280" t="s">
        <v>449</v>
      </c>
      <c r="K18" s="280">
        <v>7</v>
      </c>
      <c r="L18" s="280">
        <v>13</v>
      </c>
    </row>
    <row r="19" spans="10:14" x14ac:dyDescent="0.2">
      <c r="J19" s="217"/>
      <c r="K19" s="217"/>
      <c r="L19" s="217">
        <v>14</v>
      </c>
    </row>
    <row r="20" spans="10:14" x14ac:dyDescent="0.2">
      <c r="J20" s="217"/>
      <c r="K20" s="217"/>
      <c r="L20" s="217">
        <v>10</v>
      </c>
    </row>
    <row r="21" spans="10:14" x14ac:dyDescent="0.2">
      <c r="J21" s="217"/>
      <c r="K21" s="217" t="s">
        <v>447</v>
      </c>
      <c r="L21" s="281">
        <f>SUM(L18:L20)</f>
        <v>37</v>
      </c>
    </row>
    <row r="22" spans="10:14" x14ac:dyDescent="0.2">
      <c r="J22" s="280" t="s">
        <v>450</v>
      </c>
      <c r="K22" s="280">
        <v>52</v>
      </c>
      <c r="L22" s="280">
        <v>10</v>
      </c>
    </row>
    <row r="23" spans="10:14" x14ac:dyDescent="0.2">
      <c r="J23" s="217"/>
      <c r="K23" s="217"/>
      <c r="L23" s="217">
        <v>0</v>
      </c>
    </row>
    <row r="24" spans="10:14" x14ac:dyDescent="0.2">
      <c r="J24" s="217"/>
      <c r="K24" s="217"/>
      <c r="L24" s="217">
        <v>59</v>
      </c>
    </row>
    <row r="25" spans="10:14" x14ac:dyDescent="0.2">
      <c r="J25" s="217"/>
      <c r="K25" s="217" t="s">
        <v>447</v>
      </c>
      <c r="L25" s="281">
        <f>SUM(L22:L24)</f>
        <v>69</v>
      </c>
    </row>
    <row r="27" spans="10:14" x14ac:dyDescent="0.2">
      <c r="J27" s="76" t="s">
        <v>451</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ColWidth="11.5" defaultRowHeight="15" x14ac:dyDescent="0.2"/>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367"/>
      <c r="C2" s="365" t="s">
        <v>0</v>
      </c>
      <c r="D2" s="365"/>
      <c r="E2" s="365"/>
      <c r="F2" s="365"/>
      <c r="G2" s="365"/>
      <c r="H2" s="365"/>
      <c r="I2" s="369"/>
      <c r="J2" s="10"/>
      <c r="K2" s="10"/>
      <c r="M2" s="11" t="s">
        <v>67</v>
      </c>
    </row>
    <row r="3" spans="2:14" ht="25.5" customHeight="1" x14ac:dyDescent="0.15">
      <c r="B3" s="368"/>
      <c r="C3" s="366" t="s">
        <v>1</v>
      </c>
      <c r="D3" s="366"/>
      <c r="E3" s="366"/>
      <c r="F3" s="366"/>
      <c r="G3" s="366"/>
      <c r="H3" s="366"/>
      <c r="I3" s="370"/>
      <c r="J3" s="10"/>
      <c r="K3" s="10"/>
      <c r="M3" s="11" t="s">
        <v>68</v>
      </c>
    </row>
    <row r="4" spans="2:14" ht="25.5" customHeight="1" x14ac:dyDescent="0.15">
      <c r="B4" s="368"/>
      <c r="C4" s="366" t="s">
        <v>69</v>
      </c>
      <c r="D4" s="366"/>
      <c r="E4" s="366"/>
      <c r="F4" s="366"/>
      <c r="G4" s="366"/>
      <c r="H4" s="366"/>
      <c r="I4" s="370"/>
      <c r="J4" s="10"/>
      <c r="K4" s="10"/>
      <c r="M4" s="11" t="s">
        <v>70</v>
      </c>
    </row>
    <row r="5" spans="2:14" ht="25.5" customHeight="1" x14ac:dyDescent="0.15">
      <c r="B5" s="368"/>
      <c r="C5" s="366" t="s">
        <v>71</v>
      </c>
      <c r="D5" s="366"/>
      <c r="E5" s="366"/>
      <c r="F5" s="366"/>
      <c r="G5" s="371" t="s">
        <v>72</v>
      </c>
      <c r="H5" s="371"/>
      <c r="I5" s="370"/>
      <c r="J5" s="10"/>
      <c r="K5" s="10"/>
      <c r="M5" s="11" t="s">
        <v>73</v>
      </c>
    </row>
    <row r="6" spans="2:14" ht="23.25" customHeight="1" x14ac:dyDescent="0.15">
      <c r="B6" s="372" t="s">
        <v>74</v>
      </c>
      <c r="C6" s="373"/>
      <c r="D6" s="373"/>
      <c r="E6" s="373"/>
      <c r="F6" s="373"/>
      <c r="G6" s="373"/>
      <c r="H6" s="373"/>
      <c r="I6" s="374"/>
      <c r="J6" s="12"/>
      <c r="K6" s="12"/>
    </row>
    <row r="7" spans="2:14" ht="24" customHeight="1" x14ac:dyDescent="0.15">
      <c r="B7" s="375" t="s">
        <v>75</v>
      </c>
      <c r="C7" s="376"/>
      <c r="D7" s="376"/>
      <c r="E7" s="376"/>
      <c r="F7" s="376"/>
      <c r="G7" s="376"/>
      <c r="H7" s="376"/>
      <c r="I7" s="377"/>
      <c r="J7" s="13"/>
      <c r="K7" s="13"/>
    </row>
    <row r="8" spans="2:14" ht="24" customHeight="1" x14ac:dyDescent="0.15">
      <c r="B8" s="378" t="s">
        <v>76</v>
      </c>
      <c r="C8" s="379"/>
      <c r="D8" s="379"/>
      <c r="E8" s="379"/>
      <c r="F8" s="379"/>
      <c r="G8" s="379"/>
      <c r="H8" s="379"/>
      <c r="I8" s="380"/>
      <c r="J8" s="40"/>
      <c r="K8" s="40"/>
      <c r="N8" s="6" t="s">
        <v>77</v>
      </c>
    </row>
    <row r="9" spans="2:14" ht="30.75" customHeight="1" x14ac:dyDescent="0.15">
      <c r="B9" s="62" t="s">
        <v>78</v>
      </c>
      <c r="C9" s="41">
        <v>231</v>
      </c>
      <c r="D9" s="386" t="s">
        <v>79</v>
      </c>
      <c r="E9" s="386"/>
      <c r="F9" s="387" t="s">
        <v>80</v>
      </c>
      <c r="G9" s="388"/>
      <c r="H9" s="388"/>
      <c r="I9" s="389"/>
      <c r="J9" s="14"/>
      <c r="K9" s="14"/>
      <c r="M9" s="11" t="s">
        <v>81</v>
      </c>
      <c r="N9" s="6" t="s">
        <v>82</v>
      </c>
    </row>
    <row r="10" spans="2:14" ht="30.75" customHeight="1" x14ac:dyDescent="0.15">
      <c r="B10" s="184" t="s">
        <v>83</v>
      </c>
      <c r="C10" s="185" t="s">
        <v>84</v>
      </c>
      <c r="D10" s="390" t="s">
        <v>85</v>
      </c>
      <c r="E10" s="391"/>
      <c r="F10" s="381" t="s">
        <v>86</v>
      </c>
      <c r="G10" s="382"/>
      <c r="H10" s="186" t="s">
        <v>87</v>
      </c>
      <c r="I10" s="187" t="s">
        <v>84</v>
      </c>
      <c r="J10" s="15"/>
      <c r="K10" s="15"/>
      <c r="M10" s="11" t="s">
        <v>88</v>
      </c>
      <c r="N10" s="6" t="s">
        <v>89</v>
      </c>
    </row>
    <row r="11" spans="2:14" ht="30.75" customHeight="1" x14ac:dyDescent="0.15">
      <c r="B11" s="184" t="s">
        <v>90</v>
      </c>
      <c r="C11" s="383" t="s">
        <v>91</v>
      </c>
      <c r="D11" s="383"/>
      <c r="E11" s="383"/>
      <c r="F11" s="383"/>
      <c r="G11" s="186" t="s">
        <v>92</v>
      </c>
      <c r="H11" s="384">
        <v>1032</v>
      </c>
      <c r="I11" s="385"/>
      <c r="J11" s="16"/>
      <c r="K11" s="16"/>
      <c r="M11" s="11" t="s">
        <v>93</v>
      </c>
      <c r="N11" s="6" t="s">
        <v>44</v>
      </c>
    </row>
    <row r="12" spans="2:14" ht="30.75" customHeight="1" x14ac:dyDescent="0.15">
      <c r="B12" s="184" t="s">
        <v>94</v>
      </c>
      <c r="C12" s="392" t="s">
        <v>88</v>
      </c>
      <c r="D12" s="392"/>
      <c r="E12" s="392"/>
      <c r="F12" s="392"/>
      <c r="G12" s="186" t="s">
        <v>95</v>
      </c>
      <c r="H12" s="393" t="s">
        <v>96</v>
      </c>
      <c r="I12" s="394"/>
      <c r="J12" s="17"/>
      <c r="K12" s="17"/>
      <c r="M12" s="18" t="s">
        <v>97</v>
      </c>
    </row>
    <row r="13" spans="2:14" ht="30.75" customHeight="1" x14ac:dyDescent="0.15">
      <c r="B13" s="184" t="s">
        <v>98</v>
      </c>
      <c r="C13" s="395" t="s">
        <v>99</v>
      </c>
      <c r="D13" s="395"/>
      <c r="E13" s="395"/>
      <c r="F13" s="395"/>
      <c r="G13" s="395"/>
      <c r="H13" s="395"/>
      <c r="I13" s="396"/>
      <c r="J13" s="19"/>
      <c r="K13" s="19"/>
      <c r="M13" s="18"/>
    </row>
    <row r="14" spans="2:14" ht="30.75" customHeight="1" x14ac:dyDescent="0.15">
      <c r="B14" s="184" t="s">
        <v>100</v>
      </c>
      <c r="C14" s="381" t="s">
        <v>101</v>
      </c>
      <c r="D14" s="382"/>
      <c r="E14" s="382"/>
      <c r="F14" s="382"/>
      <c r="G14" s="382"/>
      <c r="H14" s="382"/>
      <c r="I14" s="397"/>
      <c r="J14" s="15"/>
      <c r="K14" s="15"/>
      <c r="M14" s="18"/>
      <c r="N14" s="6" t="s">
        <v>102</v>
      </c>
    </row>
    <row r="15" spans="2:14" ht="30.75" customHeight="1" x14ac:dyDescent="0.15">
      <c r="B15" s="184" t="s">
        <v>103</v>
      </c>
      <c r="C15" s="398" t="s">
        <v>104</v>
      </c>
      <c r="D15" s="398"/>
      <c r="E15" s="398"/>
      <c r="F15" s="398"/>
      <c r="G15" s="186" t="s">
        <v>105</v>
      </c>
      <c r="H15" s="399" t="s">
        <v>106</v>
      </c>
      <c r="I15" s="400"/>
      <c r="J15" s="15"/>
      <c r="K15" s="15"/>
      <c r="M15" s="18" t="s">
        <v>107</v>
      </c>
      <c r="N15" s="6" t="s">
        <v>84</v>
      </c>
    </row>
    <row r="16" spans="2:14" ht="30.75" customHeight="1" x14ac:dyDescent="0.15">
      <c r="B16" s="184" t="s">
        <v>108</v>
      </c>
      <c r="C16" s="401" t="s">
        <v>109</v>
      </c>
      <c r="D16" s="402"/>
      <c r="E16" s="402"/>
      <c r="F16" s="402"/>
      <c r="G16" s="186" t="s">
        <v>110</v>
      </c>
      <c r="H16" s="399" t="s">
        <v>44</v>
      </c>
      <c r="I16" s="400"/>
      <c r="J16" s="15"/>
      <c r="K16" s="15"/>
      <c r="M16" s="18" t="s">
        <v>111</v>
      </c>
    </row>
    <row r="17" spans="2:14" ht="36" customHeight="1" x14ac:dyDescent="0.15">
      <c r="B17" s="184" t="s">
        <v>112</v>
      </c>
      <c r="C17" s="395" t="s">
        <v>113</v>
      </c>
      <c r="D17" s="395"/>
      <c r="E17" s="395"/>
      <c r="F17" s="395"/>
      <c r="G17" s="395"/>
      <c r="H17" s="395"/>
      <c r="I17" s="396"/>
      <c r="J17" s="19"/>
      <c r="K17" s="19"/>
      <c r="M17" s="18" t="s">
        <v>114</v>
      </c>
      <c r="N17" s="6" t="s">
        <v>115</v>
      </c>
    </row>
    <row r="18" spans="2:14" ht="30.75" customHeight="1" x14ac:dyDescent="0.15">
      <c r="B18" s="184" t="s">
        <v>116</v>
      </c>
      <c r="C18" s="398" t="s">
        <v>117</v>
      </c>
      <c r="D18" s="398"/>
      <c r="E18" s="398"/>
      <c r="F18" s="398"/>
      <c r="G18" s="398"/>
      <c r="H18" s="398"/>
      <c r="I18" s="403"/>
      <c r="J18" s="20"/>
      <c r="K18" s="20"/>
      <c r="M18" s="18" t="s">
        <v>118</v>
      </c>
      <c r="N18" s="6" t="s">
        <v>119</v>
      </c>
    </row>
    <row r="19" spans="2:14" ht="30.75" customHeight="1" x14ac:dyDescent="0.15">
      <c r="B19" s="184" t="s">
        <v>120</v>
      </c>
      <c r="C19" s="398" t="s">
        <v>121</v>
      </c>
      <c r="D19" s="398"/>
      <c r="E19" s="398"/>
      <c r="F19" s="398"/>
      <c r="G19" s="398"/>
      <c r="H19" s="398"/>
      <c r="I19" s="403"/>
      <c r="J19" s="21"/>
      <c r="K19" s="21"/>
      <c r="M19" s="18"/>
      <c r="N19" s="6" t="s">
        <v>122</v>
      </c>
    </row>
    <row r="20" spans="2:14" ht="30.75" customHeight="1" x14ac:dyDescent="0.15">
      <c r="B20" s="184" t="s">
        <v>123</v>
      </c>
      <c r="C20" s="404" t="s">
        <v>56</v>
      </c>
      <c r="D20" s="404"/>
      <c r="E20" s="404"/>
      <c r="F20" s="404"/>
      <c r="G20" s="404"/>
      <c r="H20" s="404"/>
      <c r="I20" s="405"/>
      <c r="J20" s="22"/>
      <c r="K20" s="22"/>
      <c r="M20" s="18" t="s">
        <v>106</v>
      </c>
      <c r="N20" s="6" t="s">
        <v>124</v>
      </c>
    </row>
    <row r="21" spans="2:14" ht="27.75" customHeight="1" x14ac:dyDescent="0.15">
      <c r="B21" s="406" t="s">
        <v>125</v>
      </c>
      <c r="C21" s="408" t="s">
        <v>126</v>
      </c>
      <c r="D21" s="408"/>
      <c r="E21" s="408"/>
      <c r="F21" s="409" t="s">
        <v>127</v>
      </c>
      <c r="G21" s="409"/>
      <c r="H21" s="409"/>
      <c r="I21" s="410"/>
      <c r="J21" s="23"/>
      <c r="K21" s="23"/>
      <c r="M21" s="18" t="s">
        <v>128</v>
      </c>
      <c r="N21" s="6" t="s">
        <v>129</v>
      </c>
    </row>
    <row r="22" spans="2:14" ht="27" customHeight="1" x14ac:dyDescent="0.15">
      <c r="B22" s="407"/>
      <c r="C22" s="398" t="s">
        <v>130</v>
      </c>
      <c r="D22" s="398"/>
      <c r="E22" s="398"/>
      <c r="F22" s="398" t="s">
        <v>131</v>
      </c>
      <c r="G22" s="398"/>
      <c r="H22" s="398"/>
      <c r="I22" s="403"/>
      <c r="J22" s="21"/>
      <c r="K22" s="21"/>
      <c r="M22" s="18" t="s">
        <v>132</v>
      </c>
      <c r="N22" s="6" t="s">
        <v>133</v>
      </c>
    </row>
    <row r="23" spans="2:14" ht="39.75" customHeight="1" x14ac:dyDescent="0.15">
      <c r="B23" s="184" t="s">
        <v>134</v>
      </c>
      <c r="C23" s="399" t="s">
        <v>56</v>
      </c>
      <c r="D23" s="399"/>
      <c r="E23" s="399"/>
      <c r="F23" s="399" t="s">
        <v>56</v>
      </c>
      <c r="G23" s="399"/>
      <c r="H23" s="399"/>
      <c r="I23" s="400"/>
      <c r="J23" s="15"/>
      <c r="K23" s="15"/>
      <c r="M23" s="18"/>
      <c r="N23" s="6" t="s">
        <v>99</v>
      </c>
    </row>
    <row r="24" spans="2:14" ht="44.25" customHeight="1" x14ac:dyDescent="0.15">
      <c r="B24" s="184" t="s">
        <v>135</v>
      </c>
      <c r="C24" s="420" t="s">
        <v>136</v>
      </c>
      <c r="D24" s="421"/>
      <c r="E24" s="422"/>
      <c r="F24" s="387" t="s">
        <v>137</v>
      </c>
      <c r="G24" s="388"/>
      <c r="H24" s="388"/>
      <c r="I24" s="389"/>
      <c r="J24" s="20"/>
      <c r="K24" s="20"/>
      <c r="M24" s="24"/>
      <c r="N24" s="6" t="s">
        <v>138</v>
      </c>
    </row>
    <row r="25" spans="2:14" ht="29.25" customHeight="1" x14ac:dyDescent="0.15">
      <c r="B25" s="184" t="s">
        <v>139</v>
      </c>
      <c r="C25" s="423" t="s">
        <v>109</v>
      </c>
      <c r="D25" s="424"/>
      <c r="E25" s="425"/>
      <c r="F25" s="186" t="s">
        <v>140</v>
      </c>
      <c r="G25" s="426">
        <v>0.3</v>
      </c>
      <c r="H25" s="427"/>
      <c r="I25" s="428"/>
      <c r="J25" s="25"/>
      <c r="K25" s="25"/>
      <c r="M25" s="24"/>
    </row>
    <row r="26" spans="2:14" ht="27" customHeight="1" x14ac:dyDescent="0.15">
      <c r="B26" s="184" t="s">
        <v>141</v>
      </c>
      <c r="C26" s="387" t="s">
        <v>142</v>
      </c>
      <c r="D26" s="388"/>
      <c r="E26" s="429"/>
      <c r="F26" s="186" t="s">
        <v>143</v>
      </c>
      <c r="G26" s="430">
        <v>0.3</v>
      </c>
      <c r="H26" s="431"/>
      <c r="I26" s="432"/>
      <c r="J26" s="26"/>
      <c r="K26" s="26"/>
      <c r="M26" s="24"/>
    </row>
    <row r="27" spans="2:14" ht="47.25" customHeight="1" x14ac:dyDescent="0.15">
      <c r="B27" s="188" t="s">
        <v>144</v>
      </c>
      <c r="C27" s="433" t="s">
        <v>114</v>
      </c>
      <c r="D27" s="434"/>
      <c r="E27" s="435"/>
      <c r="F27" s="189" t="s">
        <v>145</v>
      </c>
      <c r="G27" s="430" t="s">
        <v>146</v>
      </c>
      <c r="H27" s="431"/>
      <c r="I27" s="432"/>
      <c r="J27" s="23"/>
      <c r="K27" s="23"/>
      <c r="M27" s="24"/>
    </row>
    <row r="28" spans="2:14" ht="30" customHeight="1" x14ac:dyDescent="0.15">
      <c r="B28" s="436" t="s">
        <v>147</v>
      </c>
      <c r="C28" s="437"/>
      <c r="D28" s="437"/>
      <c r="E28" s="437"/>
      <c r="F28" s="437"/>
      <c r="G28" s="437"/>
      <c r="H28" s="437"/>
      <c r="I28" s="438"/>
      <c r="J28" s="40"/>
      <c r="K28" s="40"/>
      <c r="M28" s="24"/>
    </row>
    <row r="29" spans="2:14" ht="56.25" customHeight="1" x14ac:dyDescent="0.15">
      <c r="B29" s="190" t="s">
        <v>148</v>
      </c>
      <c r="C29" s="191" t="s">
        <v>149</v>
      </c>
      <c r="D29" s="191" t="s">
        <v>150</v>
      </c>
      <c r="E29" s="191" t="s">
        <v>151</v>
      </c>
      <c r="F29" s="191" t="s">
        <v>152</v>
      </c>
      <c r="G29" s="192" t="s">
        <v>153</v>
      </c>
      <c r="H29" s="192" t="s">
        <v>154</v>
      </c>
      <c r="I29" s="193" t="s">
        <v>155</v>
      </c>
      <c r="J29" s="51" t="s">
        <v>156</v>
      </c>
      <c r="K29" s="21"/>
      <c r="M29" s="24"/>
    </row>
    <row r="30" spans="2:14" ht="19.5" customHeight="1" x14ac:dyDescent="0.15">
      <c r="B30" s="194" t="s">
        <v>157</v>
      </c>
      <c r="C30" s="195">
        <v>0</v>
      </c>
      <c r="D30" s="196">
        <f>+C30</f>
        <v>0</v>
      </c>
      <c r="E30" s="197">
        <v>0</v>
      </c>
      <c r="F30" s="198">
        <f>+E30</f>
        <v>0</v>
      </c>
      <c r="G30" s="199" t="e">
        <f>+C30/E30</f>
        <v>#DIV/0!</v>
      </c>
      <c r="H30" s="200" t="e">
        <f>+D30/F30</f>
        <v>#DIV/0!</v>
      </c>
      <c r="I30" s="201">
        <f>+D30/$G$26</f>
        <v>0</v>
      </c>
      <c r="J30" s="50">
        <v>0.99</v>
      </c>
      <c r="K30" s="27"/>
      <c r="M30" s="24"/>
    </row>
    <row r="31" spans="2:14" ht="19.5" customHeight="1" x14ac:dyDescent="0.15">
      <c r="B31" s="194" t="s">
        <v>158</v>
      </c>
      <c r="C31" s="195">
        <v>0</v>
      </c>
      <c r="D31" s="196">
        <f>+D30+C31</f>
        <v>0</v>
      </c>
      <c r="E31" s="197">
        <v>0</v>
      </c>
      <c r="F31" s="198">
        <f>+F30+E31</f>
        <v>0</v>
      </c>
      <c r="G31" s="199" t="e">
        <f t="shared" ref="G31:H40" si="0">+C31/E31</f>
        <v>#DIV/0!</v>
      </c>
      <c r="H31" s="200" t="e">
        <f t="shared" si="0"/>
        <v>#DIV/0!</v>
      </c>
      <c r="I31" s="201">
        <f t="shared" ref="I31:I41" si="1">+D31/$G$26</f>
        <v>0</v>
      </c>
      <c r="J31" s="50">
        <v>0.99</v>
      </c>
      <c r="K31" s="27"/>
      <c r="M31" s="24"/>
    </row>
    <row r="32" spans="2:14" ht="19.5" customHeight="1" x14ac:dyDescent="0.15">
      <c r="B32" s="194" t="s">
        <v>159</v>
      </c>
      <c r="C32" s="195">
        <v>0</v>
      </c>
      <c r="D32" s="196">
        <f t="shared" ref="D32:D40" si="2">+D31+C32</f>
        <v>0</v>
      </c>
      <c r="E32" s="197">
        <v>0.19</v>
      </c>
      <c r="F32" s="198">
        <f t="shared" ref="F32:F41" si="3">+F31+E32</f>
        <v>0.19</v>
      </c>
      <c r="G32" s="199">
        <f t="shared" si="0"/>
        <v>0</v>
      </c>
      <c r="H32" s="200">
        <f t="shared" si="0"/>
        <v>0</v>
      </c>
      <c r="I32" s="201">
        <f t="shared" si="1"/>
        <v>0</v>
      </c>
      <c r="J32" s="50">
        <v>0.99</v>
      </c>
      <c r="K32" s="27"/>
      <c r="M32" s="24"/>
    </row>
    <row r="33" spans="2:11" ht="19.5" customHeight="1" x14ac:dyDescent="0.15">
      <c r="B33" s="194" t="s">
        <v>160</v>
      </c>
      <c r="C33" s="195">
        <v>0</v>
      </c>
      <c r="D33" s="196">
        <f t="shared" si="2"/>
        <v>0</v>
      </c>
      <c r="E33" s="197">
        <v>0</v>
      </c>
      <c r="F33" s="198">
        <f t="shared" si="3"/>
        <v>0.19</v>
      </c>
      <c r="G33" s="199" t="e">
        <f t="shared" si="0"/>
        <v>#DIV/0!</v>
      </c>
      <c r="H33" s="200">
        <f t="shared" si="0"/>
        <v>0</v>
      </c>
      <c r="I33" s="201">
        <f t="shared" si="1"/>
        <v>0</v>
      </c>
      <c r="J33" s="50">
        <v>0.99</v>
      </c>
      <c r="K33" s="27"/>
    </row>
    <row r="34" spans="2:11" ht="19.5" customHeight="1" x14ac:dyDescent="0.15">
      <c r="B34" s="194" t="s">
        <v>161</v>
      </c>
      <c r="C34" s="195">
        <v>0</v>
      </c>
      <c r="D34" s="196">
        <f t="shared" si="2"/>
        <v>0</v>
      </c>
      <c r="E34" s="197">
        <v>0</v>
      </c>
      <c r="F34" s="198">
        <f t="shared" si="3"/>
        <v>0.19</v>
      </c>
      <c r="G34" s="199" t="e">
        <f t="shared" si="0"/>
        <v>#DIV/0!</v>
      </c>
      <c r="H34" s="200">
        <f t="shared" si="0"/>
        <v>0</v>
      </c>
      <c r="I34" s="201">
        <f t="shared" si="1"/>
        <v>0</v>
      </c>
      <c r="J34" s="50">
        <v>0.99</v>
      </c>
      <c r="K34" s="27"/>
    </row>
    <row r="35" spans="2:11" ht="19.5" customHeight="1" x14ac:dyDescent="0.15">
      <c r="B35" s="194" t="s">
        <v>162</v>
      </c>
      <c r="C35" s="195">
        <v>0</v>
      </c>
      <c r="D35" s="196">
        <f t="shared" si="2"/>
        <v>0</v>
      </c>
      <c r="E35" s="197">
        <v>0</v>
      </c>
      <c r="F35" s="198">
        <f t="shared" si="3"/>
        <v>0.19</v>
      </c>
      <c r="G35" s="199" t="e">
        <f t="shared" si="0"/>
        <v>#DIV/0!</v>
      </c>
      <c r="H35" s="200">
        <f t="shared" si="0"/>
        <v>0</v>
      </c>
      <c r="I35" s="201">
        <f t="shared" si="1"/>
        <v>0</v>
      </c>
      <c r="J35" s="50">
        <v>0.99</v>
      </c>
      <c r="K35" s="27"/>
    </row>
    <row r="36" spans="2:11" ht="19.5" customHeight="1" x14ac:dyDescent="0.15">
      <c r="B36" s="194" t="s">
        <v>163</v>
      </c>
      <c r="C36" s="195">
        <v>0</v>
      </c>
      <c r="D36" s="196">
        <f t="shared" si="2"/>
        <v>0</v>
      </c>
      <c r="E36" s="197">
        <v>0</v>
      </c>
      <c r="F36" s="198">
        <f t="shared" si="3"/>
        <v>0.19</v>
      </c>
      <c r="G36" s="199" t="e">
        <f t="shared" si="0"/>
        <v>#DIV/0!</v>
      </c>
      <c r="H36" s="200">
        <f t="shared" si="0"/>
        <v>0</v>
      </c>
      <c r="I36" s="201">
        <f t="shared" si="1"/>
        <v>0</v>
      </c>
      <c r="J36" s="50">
        <v>0.99</v>
      </c>
      <c r="K36" s="27"/>
    </row>
    <row r="37" spans="2:11" ht="19.5" customHeight="1" x14ac:dyDescent="0.15">
      <c r="B37" s="194" t="s">
        <v>164</v>
      </c>
      <c r="C37" s="195">
        <v>0</v>
      </c>
      <c r="D37" s="196">
        <f t="shared" si="2"/>
        <v>0</v>
      </c>
      <c r="E37" s="197">
        <v>0</v>
      </c>
      <c r="F37" s="198">
        <f t="shared" si="3"/>
        <v>0.19</v>
      </c>
      <c r="G37" s="199" t="e">
        <f t="shared" si="0"/>
        <v>#DIV/0!</v>
      </c>
      <c r="H37" s="200">
        <f t="shared" si="0"/>
        <v>0</v>
      </c>
      <c r="I37" s="201">
        <f t="shared" si="1"/>
        <v>0</v>
      </c>
      <c r="J37" s="50">
        <v>0.99</v>
      </c>
      <c r="K37" s="27"/>
    </row>
    <row r="38" spans="2:11" ht="19.5" customHeight="1" x14ac:dyDescent="0.15">
      <c r="B38" s="194" t="s">
        <v>165</v>
      </c>
      <c r="C38" s="195">
        <v>0</v>
      </c>
      <c r="D38" s="196">
        <f t="shared" si="2"/>
        <v>0</v>
      </c>
      <c r="E38" s="197">
        <v>0.02</v>
      </c>
      <c r="F38" s="198">
        <f t="shared" si="3"/>
        <v>0.21</v>
      </c>
      <c r="G38" s="199">
        <f t="shared" si="0"/>
        <v>0</v>
      </c>
      <c r="H38" s="200">
        <f t="shared" si="0"/>
        <v>0</v>
      </c>
      <c r="I38" s="201">
        <f t="shared" si="1"/>
        <v>0</v>
      </c>
      <c r="J38" s="50">
        <v>0.99</v>
      </c>
      <c r="K38" s="27"/>
    </row>
    <row r="39" spans="2:11" ht="19.5" customHeight="1" x14ac:dyDescent="0.15">
      <c r="B39" s="194" t="s">
        <v>166</v>
      </c>
      <c r="C39" s="195">
        <v>0</v>
      </c>
      <c r="D39" s="196">
        <f t="shared" si="2"/>
        <v>0</v>
      </c>
      <c r="E39" s="197">
        <v>0</v>
      </c>
      <c r="F39" s="198">
        <f t="shared" si="3"/>
        <v>0.21</v>
      </c>
      <c r="G39" s="199" t="e">
        <f t="shared" si="0"/>
        <v>#DIV/0!</v>
      </c>
      <c r="H39" s="200">
        <f t="shared" si="0"/>
        <v>0</v>
      </c>
      <c r="I39" s="201">
        <f t="shared" si="1"/>
        <v>0</v>
      </c>
      <c r="J39" s="50">
        <v>0.99</v>
      </c>
      <c r="K39" s="27"/>
    </row>
    <row r="40" spans="2:11" ht="19.5" customHeight="1" x14ac:dyDescent="0.15">
      <c r="B40" s="194" t="s">
        <v>167</v>
      </c>
      <c r="C40" s="195">
        <v>0</v>
      </c>
      <c r="D40" s="196">
        <f t="shared" si="2"/>
        <v>0</v>
      </c>
      <c r="E40" s="197">
        <v>0</v>
      </c>
      <c r="F40" s="198">
        <f t="shared" si="3"/>
        <v>0.21</v>
      </c>
      <c r="G40" s="199" t="e">
        <f t="shared" si="0"/>
        <v>#DIV/0!</v>
      </c>
      <c r="H40" s="200">
        <f t="shared" si="0"/>
        <v>0</v>
      </c>
      <c r="I40" s="201">
        <f t="shared" si="1"/>
        <v>0</v>
      </c>
      <c r="J40" s="50">
        <v>0.99</v>
      </c>
      <c r="K40" s="27"/>
    </row>
    <row r="41" spans="2:11" ht="19.5" customHeight="1" x14ac:dyDescent="0.15">
      <c r="B41" s="194" t="s">
        <v>168</v>
      </c>
      <c r="C41" s="195">
        <v>0</v>
      </c>
      <c r="D41" s="196">
        <f>+D40+C41</f>
        <v>0</v>
      </c>
      <c r="E41" s="197">
        <v>0.04</v>
      </c>
      <c r="F41" s="198">
        <f t="shared" si="3"/>
        <v>0.25</v>
      </c>
      <c r="G41" s="199">
        <f>+C41/E41</f>
        <v>0</v>
      </c>
      <c r="H41" s="200">
        <f>+D41/F41</f>
        <v>0</v>
      </c>
      <c r="I41" s="201">
        <f t="shared" si="1"/>
        <v>0</v>
      </c>
      <c r="J41" s="50">
        <v>0.99</v>
      </c>
      <c r="K41" s="27"/>
    </row>
    <row r="42" spans="2:11" ht="54.75" customHeight="1" x14ac:dyDescent="0.15">
      <c r="B42" s="202" t="s">
        <v>169</v>
      </c>
      <c r="C42" s="439" t="s">
        <v>57</v>
      </c>
      <c r="D42" s="439"/>
      <c r="E42" s="439"/>
      <c r="F42" s="439"/>
      <c r="G42" s="439"/>
      <c r="H42" s="439"/>
      <c r="I42" s="440"/>
      <c r="J42" s="28"/>
      <c r="K42" s="28"/>
    </row>
    <row r="43" spans="2:11" ht="29.25" customHeight="1" x14ac:dyDescent="0.15">
      <c r="B43" s="436" t="s">
        <v>170</v>
      </c>
      <c r="C43" s="437"/>
      <c r="D43" s="437"/>
      <c r="E43" s="437"/>
      <c r="F43" s="437"/>
      <c r="G43" s="437"/>
      <c r="H43" s="437"/>
      <c r="I43" s="438"/>
      <c r="J43" s="40"/>
      <c r="K43" s="40"/>
    </row>
    <row r="44" spans="2:11" ht="32.25" customHeight="1" x14ac:dyDescent="0.15">
      <c r="B44" s="411"/>
      <c r="C44" s="412"/>
      <c r="D44" s="412"/>
      <c r="E44" s="412"/>
      <c r="F44" s="412"/>
      <c r="G44" s="412"/>
      <c r="H44" s="412"/>
      <c r="I44" s="413"/>
      <c r="J44" s="40"/>
      <c r="K44" s="40"/>
    </row>
    <row r="45" spans="2:11" ht="32.25" customHeight="1" x14ac:dyDescent="0.15">
      <c r="B45" s="414"/>
      <c r="C45" s="415"/>
      <c r="D45" s="415"/>
      <c r="E45" s="415"/>
      <c r="F45" s="415"/>
      <c r="G45" s="415"/>
      <c r="H45" s="415"/>
      <c r="I45" s="416"/>
      <c r="J45" s="28"/>
      <c r="K45" s="28"/>
    </row>
    <row r="46" spans="2:11" ht="32.25" customHeight="1" x14ac:dyDescent="0.15">
      <c r="B46" s="414"/>
      <c r="C46" s="415"/>
      <c r="D46" s="415"/>
      <c r="E46" s="415"/>
      <c r="F46" s="415"/>
      <c r="G46" s="415"/>
      <c r="H46" s="415"/>
      <c r="I46" s="416"/>
      <c r="J46" s="28"/>
      <c r="K46" s="28"/>
    </row>
    <row r="47" spans="2:11" ht="32.25" customHeight="1" x14ac:dyDescent="0.15">
      <c r="B47" s="414"/>
      <c r="C47" s="415"/>
      <c r="D47" s="415"/>
      <c r="E47" s="415"/>
      <c r="F47" s="415"/>
      <c r="G47" s="415"/>
      <c r="H47" s="415"/>
      <c r="I47" s="416"/>
      <c r="J47" s="28"/>
      <c r="K47" s="28"/>
    </row>
    <row r="48" spans="2:11" ht="32.25" customHeight="1" x14ac:dyDescent="0.15">
      <c r="B48" s="417"/>
      <c r="C48" s="418"/>
      <c r="D48" s="418"/>
      <c r="E48" s="418"/>
      <c r="F48" s="418"/>
      <c r="G48" s="418"/>
      <c r="H48" s="418"/>
      <c r="I48" s="419"/>
      <c r="J48" s="12"/>
      <c r="K48" s="12"/>
    </row>
    <row r="49" spans="2:11" ht="83.25" customHeight="1" x14ac:dyDescent="0.15">
      <c r="B49" s="184" t="s">
        <v>171</v>
      </c>
      <c r="C49" s="439" t="s">
        <v>57</v>
      </c>
      <c r="D49" s="439"/>
      <c r="E49" s="439"/>
      <c r="F49" s="439"/>
      <c r="G49" s="439"/>
      <c r="H49" s="439"/>
      <c r="I49" s="440"/>
      <c r="J49" s="29"/>
      <c r="K49" s="29"/>
    </row>
    <row r="50" spans="2:11" ht="34.5" customHeight="1" x14ac:dyDescent="0.15">
      <c r="B50" s="184" t="s">
        <v>172</v>
      </c>
      <c r="C50" s="441" t="s">
        <v>146</v>
      </c>
      <c r="D50" s="441"/>
      <c r="E50" s="441"/>
      <c r="F50" s="441"/>
      <c r="G50" s="441"/>
      <c r="H50" s="441"/>
      <c r="I50" s="442"/>
      <c r="J50" s="29"/>
      <c r="K50" s="29"/>
    </row>
    <row r="51" spans="2:11" ht="34.5" customHeight="1" x14ac:dyDescent="0.15">
      <c r="B51" s="203" t="s">
        <v>173</v>
      </c>
      <c r="C51" s="443" t="s">
        <v>58</v>
      </c>
      <c r="D51" s="444"/>
      <c r="E51" s="444"/>
      <c r="F51" s="444"/>
      <c r="G51" s="444"/>
      <c r="H51" s="444"/>
      <c r="I51" s="445"/>
      <c r="J51" s="29"/>
      <c r="K51" s="29"/>
    </row>
    <row r="52" spans="2:11" ht="29.25" customHeight="1" x14ac:dyDescent="0.15">
      <c r="B52" s="436" t="s">
        <v>174</v>
      </c>
      <c r="C52" s="437"/>
      <c r="D52" s="437"/>
      <c r="E52" s="437"/>
      <c r="F52" s="437"/>
      <c r="G52" s="437"/>
      <c r="H52" s="437"/>
      <c r="I52" s="438"/>
      <c r="J52" s="29"/>
      <c r="K52" s="29"/>
    </row>
    <row r="53" spans="2:11" ht="33" customHeight="1" x14ac:dyDescent="0.15">
      <c r="B53" s="446" t="s">
        <v>175</v>
      </c>
      <c r="C53" s="204" t="s">
        <v>176</v>
      </c>
      <c r="D53" s="447" t="s">
        <v>177</v>
      </c>
      <c r="E53" s="447"/>
      <c r="F53" s="447"/>
      <c r="G53" s="447" t="s">
        <v>178</v>
      </c>
      <c r="H53" s="447"/>
      <c r="I53" s="448"/>
      <c r="J53" s="30"/>
      <c r="K53" s="30"/>
    </row>
    <row r="54" spans="2:11" ht="31.5" customHeight="1" x14ac:dyDescent="0.15">
      <c r="B54" s="446"/>
      <c r="C54" s="205"/>
      <c r="D54" s="441"/>
      <c r="E54" s="441"/>
      <c r="F54" s="441"/>
      <c r="G54" s="449"/>
      <c r="H54" s="449"/>
      <c r="I54" s="450"/>
      <c r="J54" s="30"/>
      <c r="K54" s="30"/>
    </row>
    <row r="55" spans="2:11" ht="31.5" customHeight="1" x14ac:dyDescent="0.15">
      <c r="B55" s="203" t="s">
        <v>179</v>
      </c>
      <c r="C55" s="462" t="s">
        <v>180</v>
      </c>
      <c r="D55" s="462"/>
      <c r="E55" s="463" t="s">
        <v>181</v>
      </c>
      <c r="F55" s="463"/>
      <c r="G55" s="462" t="s">
        <v>182</v>
      </c>
      <c r="H55" s="462"/>
      <c r="I55" s="464"/>
      <c r="J55" s="31"/>
      <c r="K55" s="31"/>
    </row>
    <row r="56" spans="2:11" ht="31.5" customHeight="1" x14ac:dyDescent="0.15">
      <c r="B56" s="203" t="s">
        <v>183</v>
      </c>
      <c r="C56" s="441" t="s">
        <v>184</v>
      </c>
      <c r="D56" s="441"/>
      <c r="E56" s="465" t="s">
        <v>185</v>
      </c>
      <c r="F56" s="465"/>
      <c r="G56" s="462" t="s">
        <v>186</v>
      </c>
      <c r="H56" s="462"/>
      <c r="I56" s="464"/>
      <c r="J56" s="31"/>
      <c r="K56" s="31"/>
    </row>
    <row r="57" spans="2:11" ht="31.5" customHeight="1" x14ac:dyDescent="0.15">
      <c r="B57" s="203" t="s">
        <v>187</v>
      </c>
      <c r="C57" s="441"/>
      <c r="D57" s="441"/>
      <c r="E57" s="451" t="s">
        <v>188</v>
      </c>
      <c r="F57" s="452"/>
      <c r="G57" s="455"/>
      <c r="H57" s="456"/>
      <c r="I57" s="457"/>
      <c r="J57" s="32"/>
      <c r="K57" s="32"/>
    </row>
    <row r="58" spans="2:11" ht="31.5" customHeight="1" thickBot="1" x14ac:dyDescent="0.2">
      <c r="B58" s="206" t="s">
        <v>189</v>
      </c>
      <c r="C58" s="461"/>
      <c r="D58" s="461"/>
      <c r="E58" s="453"/>
      <c r="F58" s="454"/>
      <c r="G58" s="458"/>
      <c r="H58" s="459"/>
      <c r="I58" s="460"/>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49:I49"/>
    <mergeCell ref="C50:I50"/>
    <mergeCell ref="C51:I51"/>
    <mergeCell ref="B52:I52"/>
    <mergeCell ref="B53:B54"/>
    <mergeCell ref="D53:F53"/>
    <mergeCell ref="G53:I53"/>
    <mergeCell ref="D54:F54"/>
    <mergeCell ref="G54:I54"/>
    <mergeCell ref="B44:I48"/>
    <mergeCell ref="C24:E24"/>
    <mergeCell ref="F24:I24"/>
    <mergeCell ref="C25:E25"/>
    <mergeCell ref="G25:I25"/>
    <mergeCell ref="C26:E26"/>
    <mergeCell ref="G26:I26"/>
    <mergeCell ref="C27:E27"/>
    <mergeCell ref="G27:I27"/>
    <mergeCell ref="B28:I28"/>
    <mergeCell ref="C42:I42"/>
    <mergeCell ref="B43:I43"/>
    <mergeCell ref="B21:B22"/>
    <mergeCell ref="C21:E21"/>
    <mergeCell ref="F21:I21"/>
    <mergeCell ref="C22:E22"/>
    <mergeCell ref="F22:I22"/>
    <mergeCell ref="C23:E23"/>
    <mergeCell ref="F23:I23"/>
    <mergeCell ref="C16:F16"/>
    <mergeCell ref="H16:I16"/>
    <mergeCell ref="C17:I17"/>
    <mergeCell ref="C18:I18"/>
    <mergeCell ref="C19:I19"/>
    <mergeCell ref="C20:I20"/>
    <mergeCell ref="C12:F12"/>
    <mergeCell ref="H12:I12"/>
    <mergeCell ref="C13:I13"/>
    <mergeCell ref="C14:I14"/>
    <mergeCell ref="C15:F15"/>
    <mergeCell ref="H15:I15"/>
    <mergeCell ref="B6:I6"/>
    <mergeCell ref="B7:I7"/>
    <mergeCell ref="B8:I8"/>
    <mergeCell ref="F10:G10"/>
    <mergeCell ref="C11:F11"/>
    <mergeCell ref="H11:I11"/>
    <mergeCell ref="D9:E9"/>
    <mergeCell ref="F9:I9"/>
    <mergeCell ref="D10:E10"/>
    <mergeCell ref="C2:H2"/>
    <mergeCell ref="C3:H3"/>
    <mergeCell ref="B2:B5"/>
    <mergeCell ref="I2:I5"/>
    <mergeCell ref="C4:H4"/>
    <mergeCell ref="C5:F5"/>
    <mergeCell ref="G5:H5"/>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6.6640625" customWidth="1"/>
    <col min="6" max="6" width="31" customWidth="1"/>
    <col min="7" max="8" width="16.1640625" customWidth="1"/>
    <col min="9" max="9" width="16.33203125" customWidth="1"/>
    <col min="10" max="10" width="15.6640625" customWidth="1"/>
    <col min="11" max="11" width="54.5" customWidth="1"/>
    <col min="13" max="13" width="17.6640625" bestFit="1" customWidth="1"/>
    <col min="108" max="108" width="11.5" customWidth="1"/>
    <col min="198" max="198" width="1.5" customWidth="1"/>
  </cols>
  <sheetData>
    <row r="1" spans="2:13" ht="18" customHeight="1" thickBot="1" x14ac:dyDescent="0.25">
      <c r="B1" s="470"/>
      <c r="C1" s="473" t="s">
        <v>0</v>
      </c>
      <c r="D1" s="474"/>
      <c r="E1" s="474"/>
      <c r="F1" s="474"/>
      <c r="G1" s="474"/>
      <c r="H1" s="475"/>
      <c r="I1" s="476"/>
      <c r="J1" s="477"/>
    </row>
    <row r="2" spans="2:13" ht="18" customHeight="1" thickBot="1" x14ac:dyDescent="0.25">
      <c r="B2" s="471"/>
      <c r="C2" s="473" t="s">
        <v>1</v>
      </c>
      <c r="D2" s="474"/>
      <c r="E2" s="474"/>
      <c r="F2" s="474"/>
      <c r="G2" s="474"/>
      <c r="H2" s="475"/>
      <c r="I2" s="478"/>
      <c r="J2" s="479"/>
    </row>
    <row r="3" spans="2:13" ht="18" customHeight="1" thickBot="1" x14ac:dyDescent="0.25">
      <c r="B3" s="471"/>
      <c r="C3" s="473" t="s">
        <v>190</v>
      </c>
      <c r="D3" s="474"/>
      <c r="E3" s="474"/>
      <c r="F3" s="474"/>
      <c r="G3" s="474"/>
      <c r="H3" s="475"/>
      <c r="I3" s="478"/>
      <c r="J3" s="479"/>
    </row>
    <row r="4" spans="2:13" ht="18" customHeight="1" thickBot="1" x14ac:dyDescent="0.25">
      <c r="B4" s="472"/>
      <c r="C4" s="473" t="s">
        <v>191</v>
      </c>
      <c r="D4" s="474"/>
      <c r="E4" s="474"/>
      <c r="F4" s="475"/>
      <c r="G4" s="482" t="s">
        <v>192</v>
      </c>
      <c r="H4" s="483"/>
      <c r="I4" s="480"/>
      <c r="J4" s="481"/>
    </row>
    <row r="5" spans="2:13" ht="18" customHeight="1" thickBot="1" x14ac:dyDescent="0.25">
      <c r="B5" s="35"/>
      <c r="C5" s="10"/>
      <c r="D5" s="10"/>
      <c r="E5" s="10"/>
      <c r="F5" s="10"/>
      <c r="G5" s="10"/>
      <c r="H5" s="10"/>
      <c r="I5" s="10"/>
      <c r="J5" s="36"/>
    </row>
    <row r="6" spans="2:13" ht="51.75" customHeight="1" thickBot="1" x14ac:dyDescent="0.25">
      <c r="B6" s="1" t="s">
        <v>193</v>
      </c>
      <c r="C6" s="486" t="s">
        <v>39</v>
      </c>
      <c r="D6" s="487"/>
      <c r="E6" s="488"/>
      <c r="F6" s="37"/>
      <c r="G6" s="10"/>
      <c r="H6" s="10"/>
      <c r="I6" s="10"/>
      <c r="J6" s="36"/>
    </row>
    <row r="7" spans="2:13" ht="32.25" customHeight="1" thickBot="1" x14ac:dyDescent="0.25">
      <c r="B7" s="2" t="s">
        <v>194</v>
      </c>
      <c r="C7" s="486" t="s">
        <v>86</v>
      </c>
      <c r="D7" s="487"/>
      <c r="E7" s="488"/>
      <c r="F7" s="37"/>
      <c r="G7" s="10"/>
      <c r="H7" s="10"/>
      <c r="I7" s="10"/>
      <c r="J7" s="36"/>
    </row>
    <row r="8" spans="2:13" ht="32.25" customHeight="1" thickBot="1" x14ac:dyDescent="0.25">
      <c r="B8" s="2" t="s">
        <v>195</v>
      </c>
      <c r="C8" s="486" t="s">
        <v>196</v>
      </c>
      <c r="D8" s="487"/>
      <c r="E8" s="488"/>
      <c r="F8" s="4"/>
      <c r="G8" s="10"/>
      <c r="H8" s="10"/>
      <c r="I8" s="10"/>
      <c r="J8" s="36"/>
    </row>
    <row r="9" spans="2:13" ht="33.75" customHeight="1" thickBot="1" x14ac:dyDescent="0.25">
      <c r="B9" s="2" t="s">
        <v>197</v>
      </c>
      <c r="C9" s="486" t="s">
        <v>186</v>
      </c>
      <c r="D9" s="487"/>
      <c r="E9" s="488"/>
      <c r="F9" s="37"/>
      <c r="G9" s="10"/>
      <c r="H9" s="10"/>
      <c r="I9" s="10"/>
      <c r="J9" s="36"/>
    </row>
    <row r="10" spans="2:13" ht="32.25" customHeight="1" thickBot="1" x14ac:dyDescent="0.25">
      <c r="B10" s="2" t="s">
        <v>198</v>
      </c>
      <c r="C10" s="486" t="s">
        <v>101</v>
      </c>
      <c r="D10" s="487"/>
      <c r="E10" s="488"/>
    </row>
    <row r="12" spans="2:13" x14ac:dyDescent="0.2">
      <c r="B12" s="496" t="s">
        <v>199</v>
      </c>
      <c r="C12" s="497"/>
      <c r="D12" s="497"/>
      <c r="E12" s="497"/>
      <c r="F12" s="497"/>
      <c r="G12" s="497"/>
      <c r="H12" s="498"/>
      <c r="I12" s="490" t="s">
        <v>200</v>
      </c>
      <c r="J12" s="491"/>
      <c r="K12" s="491"/>
    </row>
    <row r="13" spans="2:13" s="39" customFormat="1" ht="30" customHeight="1" x14ac:dyDescent="0.2">
      <c r="B13" s="484" t="s">
        <v>201</v>
      </c>
      <c r="C13" s="484" t="s">
        <v>202</v>
      </c>
      <c r="D13" s="484" t="s">
        <v>203</v>
      </c>
      <c r="E13" s="484" t="s">
        <v>204</v>
      </c>
      <c r="F13" s="484" t="s">
        <v>205</v>
      </c>
      <c r="G13" s="484" t="s">
        <v>206</v>
      </c>
      <c r="H13" s="484" t="s">
        <v>207</v>
      </c>
      <c r="I13" s="492" t="s">
        <v>208</v>
      </c>
      <c r="J13" s="494" t="s">
        <v>209</v>
      </c>
      <c r="K13" s="489" t="s">
        <v>210</v>
      </c>
    </row>
    <row r="14" spans="2:13" s="39" customFormat="1" x14ac:dyDescent="0.2">
      <c r="B14" s="485"/>
      <c r="C14" s="485"/>
      <c r="D14" s="485"/>
      <c r="E14" s="485"/>
      <c r="F14" s="485"/>
      <c r="G14" s="485"/>
      <c r="H14" s="485"/>
      <c r="I14" s="493"/>
      <c r="J14" s="495"/>
      <c r="K14" s="489"/>
    </row>
    <row r="15" spans="2:13" s="39" customFormat="1" ht="96" x14ac:dyDescent="0.2">
      <c r="B15" s="61">
        <v>1</v>
      </c>
      <c r="C15" s="207" t="s">
        <v>211</v>
      </c>
      <c r="D15" s="208">
        <v>0.19</v>
      </c>
      <c r="E15" s="209"/>
      <c r="F15" s="210" t="s">
        <v>212</v>
      </c>
      <c r="G15" s="211">
        <v>0.19</v>
      </c>
      <c r="H15" s="212">
        <v>43160</v>
      </c>
      <c r="I15" s="213">
        <v>0.19</v>
      </c>
      <c r="J15" s="214">
        <v>43132</v>
      </c>
      <c r="K15" s="215"/>
      <c r="M15" s="65"/>
    </row>
    <row r="16" spans="2:13" ht="64" x14ac:dyDescent="0.2">
      <c r="B16" s="216">
        <v>2</v>
      </c>
      <c r="C16" s="217" t="s">
        <v>213</v>
      </c>
      <c r="D16" s="208">
        <v>0.02</v>
      </c>
      <c r="E16" s="209"/>
      <c r="F16" s="210" t="s">
        <v>214</v>
      </c>
      <c r="G16" s="211">
        <v>0.02</v>
      </c>
      <c r="H16" s="212">
        <v>43344</v>
      </c>
      <c r="I16" s="213"/>
      <c r="J16" s="214"/>
      <c r="K16" s="215"/>
      <c r="M16" s="66"/>
    </row>
    <row r="17" spans="2:11" ht="64" x14ac:dyDescent="0.2">
      <c r="B17" s="218">
        <v>3</v>
      </c>
      <c r="C17" s="219" t="s">
        <v>215</v>
      </c>
      <c r="D17" s="208">
        <v>0.04</v>
      </c>
      <c r="E17" s="209"/>
      <c r="F17" s="210" t="s">
        <v>216</v>
      </c>
      <c r="G17" s="211">
        <v>0.04</v>
      </c>
      <c r="H17" s="212">
        <v>43435</v>
      </c>
      <c r="I17" s="213"/>
      <c r="J17" s="214"/>
      <c r="K17" s="215"/>
    </row>
    <row r="18" spans="2:11" x14ac:dyDescent="0.2">
      <c r="B18" s="466" t="s">
        <v>217</v>
      </c>
      <c r="C18" s="467"/>
      <c r="D18" s="220">
        <f>SUM(D15:D17)</f>
        <v>0.25</v>
      </c>
      <c r="E18" s="468" t="s">
        <v>217</v>
      </c>
      <c r="F18" s="469"/>
      <c r="G18" s="220">
        <f>SUM(G15:G17)</f>
        <v>0.25</v>
      </c>
      <c r="H18" s="221"/>
      <c r="I18" s="222">
        <f>SUM(I15:I17)</f>
        <v>0.19</v>
      </c>
      <c r="J18" s="223"/>
      <c r="K18" s="223"/>
    </row>
  </sheetData>
  <mergeCells count="26">
    <mergeCell ref="K13:K14"/>
    <mergeCell ref="I12:K12"/>
    <mergeCell ref="B13:B14"/>
    <mergeCell ref="C13:C14"/>
    <mergeCell ref="D13:D14"/>
    <mergeCell ref="E13:E14"/>
    <mergeCell ref="F13:F14"/>
    <mergeCell ref="G13:G14"/>
    <mergeCell ref="I13:I14"/>
    <mergeCell ref="J13:J14"/>
    <mergeCell ref="B12:H12"/>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L60"/>
  <sheetViews>
    <sheetView zoomScale="85" zoomScaleNormal="85" zoomScalePageLayoutView="85" workbookViewId="0">
      <selection activeCell="C1" sqref="C1:H1"/>
    </sheetView>
  </sheetViews>
  <sheetFormatPr baseColWidth="10" defaultColWidth="10.6640625" defaultRowHeight="13" x14ac:dyDescent="0.15"/>
  <cols>
    <col min="1" max="1" width="1" style="83" customWidth="1"/>
    <col min="2" max="2" width="25.5" style="114" customWidth="1"/>
    <col min="3" max="3" width="14.5" style="83" customWidth="1"/>
    <col min="4" max="4" width="15.6640625" style="83" customWidth="1"/>
    <col min="5" max="5" width="23.5" style="83" customWidth="1"/>
    <col min="6" max="6" width="20.6640625" style="83" customWidth="1"/>
    <col min="7" max="7" width="19.6640625" style="114" customWidth="1"/>
    <col min="8" max="8" width="19.6640625" style="83" customWidth="1"/>
    <col min="9" max="9" width="16.33203125" style="83" customWidth="1"/>
    <col min="10" max="10" width="22.5" style="83" customWidth="1"/>
    <col min="11" max="12" width="10.6640625" style="81"/>
    <col min="13" max="16384" width="10.6640625" style="83"/>
  </cols>
  <sheetData>
    <row r="1" spans="1:10" ht="37.5" customHeight="1" x14ac:dyDescent="0.15">
      <c r="A1" s="128"/>
      <c r="B1" s="499"/>
      <c r="C1" s="502" t="s">
        <v>1</v>
      </c>
      <c r="D1" s="502"/>
      <c r="E1" s="502"/>
      <c r="F1" s="502"/>
      <c r="G1" s="502"/>
      <c r="H1" s="502"/>
      <c r="I1" s="503"/>
      <c r="J1" s="80"/>
    </row>
    <row r="2" spans="1:10" ht="37.5" customHeight="1" x14ac:dyDescent="0.15">
      <c r="A2" s="129"/>
      <c r="B2" s="500"/>
      <c r="C2" s="506" t="s">
        <v>218</v>
      </c>
      <c r="D2" s="506"/>
      <c r="E2" s="506"/>
      <c r="F2" s="506"/>
      <c r="G2" s="506"/>
      <c r="H2" s="506"/>
      <c r="I2" s="504"/>
      <c r="J2" s="80"/>
    </row>
    <row r="3" spans="1:10" ht="37.5" customHeight="1" thickBot="1" x14ac:dyDescent="0.2">
      <c r="A3" s="129"/>
      <c r="B3" s="501"/>
      <c r="C3" s="507" t="s">
        <v>219</v>
      </c>
      <c r="D3" s="507"/>
      <c r="E3" s="507"/>
      <c r="F3" s="507" t="s">
        <v>220</v>
      </c>
      <c r="G3" s="507"/>
      <c r="H3" s="507"/>
      <c r="I3" s="505"/>
      <c r="J3" s="80"/>
    </row>
    <row r="4" spans="1:10" ht="23.25" customHeight="1" x14ac:dyDescent="0.15">
      <c r="A4" s="129"/>
      <c r="B4" s="508" t="s">
        <v>221</v>
      </c>
      <c r="C4" s="509"/>
      <c r="D4" s="509"/>
      <c r="E4" s="509"/>
      <c r="F4" s="509"/>
      <c r="G4" s="509"/>
      <c r="H4" s="509"/>
      <c r="I4" s="510"/>
      <c r="J4" s="84"/>
    </row>
    <row r="5" spans="1:10" ht="24" customHeight="1" x14ac:dyDescent="0.15">
      <c r="A5" s="129"/>
      <c r="B5" s="511" t="s">
        <v>222</v>
      </c>
      <c r="C5" s="512"/>
      <c r="D5" s="512"/>
      <c r="E5" s="512"/>
      <c r="F5" s="512"/>
      <c r="G5" s="512"/>
      <c r="H5" s="512"/>
      <c r="I5" s="513"/>
      <c r="J5" s="85"/>
    </row>
    <row r="6" spans="1:10" ht="30.75" customHeight="1" x14ac:dyDescent="0.15">
      <c r="A6" s="129"/>
      <c r="B6" s="118" t="s">
        <v>223</v>
      </c>
      <c r="C6" s="134">
        <v>1</v>
      </c>
      <c r="D6" s="514" t="s">
        <v>224</v>
      </c>
      <c r="E6" s="514"/>
      <c r="F6" s="515" t="s">
        <v>225</v>
      </c>
      <c r="G6" s="515"/>
      <c r="H6" s="515"/>
      <c r="I6" s="516"/>
      <c r="J6" s="87"/>
    </row>
    <row r="7" spans="1:10" ht="30.75" customHeight="1" x14ac:dyDescent="0.15">
      <c r="A7" s="129"/>
      <c r="B7" s="118" t="s">
        <v>226</v>
      </c>
      <c r="C7" s="134" t="s">
        <v>84</v>
      </c>
      <c r="D7" s="514" t="s">
        <v>227</v>
      </c>
      <c r="E7" s="514"/>
      <c r="F7" s="517" t="s">
        <v>228</v>
      </c>
      <c r="G7" s="517"/>
      <c r="H7" s="224" t="s">
        <v>229</v>
      </c>
      <c r="I7" s="136" t="s">
        <v>84</v>
      </c>
      <c r="J7" s="88"/>
    </row>
    <row r="8" spans="1:10" ht="30.75" customHeight="1" x14ac:dyDescent="0.15">
      <c r="A8" s="129"/>
      <c r="B8" s="118" t="s">
        <v>230</v>
      </c>
      <c r="C8" s="515" t="s">
        <v>231</v>
      </c>
      <c r="D8" s="515"/>
      <c r="E8" s="515"/>
      <c r="F8" s="515"/>
      <c r="G8" s="138" t="s">
        <v>232</v>
      </c>
      <c r="H8" s="520">
        <v>7550</v>
      </c>
      <c r="I8" s="521"/>
      <c r="J8" s="89"/>
    </row>
    <row r="9" spans="1:10" ht="30.75" customHeight="1" x14ac:dyDescent="0.15">
      <c r="A9" s="129"/>
      <c r="B9" s="118" t="s">
        <v>68</v>
      </c>
      <c r="C9" s="522" t="s">
        <v>81</v>
      </c>
      <c r="D9" s="522"/>
      <c r="E9" s="522"/>
      <c r="F9" s="522"/>
      <c r="G9" s="138" t="s">
        <v>233</v>
      </c>
      <c r="H9" s="523" t="s">
        <v>234</v>
      </c>
      <c r="I9" s="524"/>
      <c r="J9" s="90"/>
    </row>
    <row r="10" spans="1:10" ht="39" customHeight="1" x14ac:dyDescent="0.15">
      <c r="A10" s="129"/>
      <c r="B10" s="118" t="s">
        <v>235</v>
      </c>
      <c r="C10" s="515" t="s">
        <v>236</v>
      </c>
      <c r="D10" s="515"/>
      <c r="E10" s="515"/>
      <c r="F10" s="515"/>
      <c r="G10" s="515"/>
      <c r="H10" s="515"/>
      <c r="I10" s="516"/>
      <c r="J10" s="92"/>
    </row>
    <row r="11" spans="1:10" ht="30.75" customHeight="1" x14ac:dyDescent="0.15">
      <c r="A11" s="129"/>
      <c r="B11" s="118" t="s">
        <v>237</v>
      </c>
      <c r="C11" s="515" t="s">
        <v>238</v>
      </c>
      <c r="D11" s="515"/>
      <c r="E11" s="515"/>
      <c r="F11" s="515"/>
      <c r="G11" s="515"/>
      <c r="H11" s="515"/>
      <c r="I11" s="516"/>
      <c r="J11" s="88"/>
    </row>
    <row r="12" spans="1:10" ht="30.75" customHeight="1" x14ac:dyDescent="0.15">
      <c r="A12" s="129"/>
      <c r="B12" s="118" t="s">
        <v>239</v>
      </c>
      <c r="C12" s="518" t="s">
        <v>240</v>
      </c>
      <c r="D12" s="518"/>
      <c r="E12" s="518"/>
      <c r="F12" s="518"/>
      <c r="G12" s="138" t="s">
        <v>241</v>
      </c>
      <c r="H12" s="517" t="s">
        <v>106</v>
      </c>
      <c r="I12" s="525"/>
      <c r="J12" s="88"/>
    </row>
    <row r="13" spans="1:10" ht="30.75" customHeight="1" x14ac:dyDescent="0.15">
      <c r="A13" s="129"/>
      <c r="B13" s="118" t="s">
        <v>242</v>
      </c>
      <c r="C13" s="526" t="s">
        <v>243</v>
      </c>
      <c r="D13" s="526"/>
      <c r="E13" s="526"/>
      <c r="F13" s="526"/>
      <c r="G13" s="138" t="s">
        <v>244</v>
      </c>
      <c r="H13" s="517" t="s">
        <v>44</v>
      </c>
      <c r="I13" s="525"/>
      <c r="J13" s="88"/>
    </row>
    <row r="14" spans="1:10" ht="64.5" customHeight="1" x14ac:dyDescent="0.15">
      <c r="A14" s="129"/>
      <c r="B14" s="118" t="s">
        <v>245</v>
      </c>
      <c r="C14" s="518" t="s">
        <v>246</v>
      </c>
      <c r="D14" s="518"/>
      <c r="E14" s="518"/>
      <c r="F14" s="518"/>
      <c r="G14" s="518"/>
      <c r="H14" s="518"/>
      <c r="I14" s="519"/>
      <c r="J14" s="92"/>
    </row>
    <row r="15" spans="1:10" ht="30.75" customHeight="1" x14ac:dyDescent="0.15">
      <c r="A15" s="129"/>
      <c r="B15" s="118" t="s">
        <v>247</v>
      </c>
      <c r="C15" s="518" t="s">
        <v>248</v>
      </c>
      <c r="D15" s="518"/>
      <c r="E15" s="518"/>
      <c r="F15" s="518"/>
      <c r="G15" s="518"/>
      <c r="H15" s="518"/>
      <c r="I15" s="519"/>
      <c r="J15" s="93"/>
    </row>
    <row r="16" spans="1:10" ht="20.25" customHeight="1" x14ac:dyDescent="0.15">
      <c r="A16" s="129"/>
      <c r="B16" s="118" t="s">
        <v>249</v>
      </c>
      <c r="C16" s="518" t="s">
        <v>250</v>
      </c>
      <c r="D16" s="518"/>
      <c r="E16" s="518"/>
      <c r="F16" s="518"/>
      <c r="G16" s="518"/>
      <c r="H16" s="518"/>
      <c r="I16" s="519"/>
      <c r="J16" s="94"/>
    </row>
    <row r="17" spans="1:10" ht="30.75" customHeight="1" x14ac:dyDescent="0.15">
      <c r="A17" s="129"/>
      <c r="B17" s="118" t="s">
        <v>251</v>
      </c>
      <c r="C17" s="517" t="s">
        <v>252</v>
      </c>
      <c r="D17" s="533"/>
      <c r="E17" s="533"/>
      <c r="F17" s="533"/>
      <c r="G17" s="533"/>
      <c r="H17" s="533"/>
      <c r="I17" s="534"/>
      <c r="J17" s="95"/>
    </row>
    <row r="18" spans="1:10" ht="18" customHeight="1" x14ac:dyDescent="0.15">
      <c r="A18" s="129"/>
      <c r="B18" s="535" t="s">
        <v>253</v>
      </c>
      <c r="C18" s="536" t="s">
        <v>254</v>
      </c>
      <c r="D18" s="536"/>
      <c r="E18" s="536"/>
      <c r="F18" s="537" t="s">
        <v>255</v>
      </c>
      <c r="G18" s="537"/>
      <c r="H18" s="537"/>
      <c r="I18" s="538"/>
      <c r="J18" s="96"/>
    </row>
    <row r="19" spans="1:10" ht="39.75" customHeight="1" x14ac:dyDescent="0.15">
      <c r="A19" s="129"/>
      <c r="B19" s="535"/>
      <c r="C19" s="515" t="s">
        <v>256</v>
      </c>
      <c r="D19" s="515"/>
      <c r="E19" s="515"/>
      <c r="F19" s="515" t="s">
        <v>257</v>
      </c>
      <c r="G19" s="515"/>
      <c r="H19" s="515"/>
      <c r="I19" s="516"/>
      <c r="J19" s="94"/>
    </row>
    <row r="20" spans="1:10" ht="39.75" customHeight="1" x14ac:dyDescent="0.15">
      <c r="A20" s="129"/>
      <c r="B20" s="118" t="s">
        <v>258</v>
      </c>
      <c r="C20" s="539" t="s">
        <v>252</v>
      </c>
      <c r="D20" s="540"/>
      <c r="E20" s="541"/>
      <c r="F20" s="542" t="s">
        <v>252</v>
      </c>
      <c r="G20" s="542"/>
      <c r="H20" s="542"/>
      <c r="I20" s="543"/>
      <c r="J20" s="88"/>
    </row>
    <row r="21" spans="1:10" ht="106.25" customHeight="1" x14ac:dyDescent="0.15">
      <c r="A21" s="129"/>
      <c r="B21" s="118" t="s">
        <v>259</v>
      </c>
      <c r="C21" s="544" t="s">
        <v>260</v>
      </c>
      <c r="D21" s="545"/>
      <c r="E21" s="546"/>
      <c r="F21" s="547" t="s">
        <v>261</v>
      </c>
      <c r="G21" s="528"/>
      <c r="H21" s="528"/>
      <c r="I21" s="548"/>
      <c r="J21" s="93"/>
    </row>
    <row r="22" spans="1:10" ht="23.25" customHeight="1" x14ac:dyDescent="0.15">
      <c r="A22" s="129"/>
      <c r="B22" s="118" t="s">
        <v>262</v>
      </c>
      <c r="C22" s="527">
        <v>44562</v>
      </c>
      <c r="D22" s="549"/>
      <c r="E22" s="550"/>
      <c r="F22" s="135" t="s">
        <v>263</v>
      </c>
      <c r="G22" s="225">
        <v>0.1</v>
      </c>
      <c r="H22" s="135" t="s">
        <v>264</v>
      </c>
      <c r="I22" s="226">
        <v>0.1</v>
      </c>
      <c r="J22" s="98"/>
    </row>
    <row r="23" spans="1:10" ht="27" customHeight="1" x14ac:dyDescent="0.15">
      <c r="A23" s="129"/>
      <c r="B23" s="118" t="s">
        <v>265</v>
      </c>
      <c r="C23" s="527">
        <v>44926</v>
      </c>
      <c r="D23" s="528"/>
      <c r="E23" s="529"/>
      <c r="F23" s="135" t="s">
        <v>266</v>
      </c>
      <c r="G23" s="530">
        <v>0.4</v>
      </c>
      <c r="H23" s="531"/>
      <c r="I23" s="532"/>
      <c r="J23" s="99"/>
    </row>
    <row r="24" spans="1:10" ht="30.75" customHeight="1" x14ac:dyDescent="0.15">
      <c r="A24" s="129"/>
      <c r="B24" s="227" t="s">
        <v>267</v>
      </c>
      <c r="C24" s="551" t="s">
        <v>268</v>
      </c>
      <c r="D24" s="552"/>
      <c r="E24" s="553"/>
      <c r="F24" s="228" t="s">
        <v>269</v>
      </c>
      <c r="G24" s="547" t="s">
        <v>46</v>
      </c>
      <c r="H24" s="528"/>
      <c r="I24" s="548"/>
      <c r="J24" s="96"/>
    </row>
    <row r="25" spans="1:10" ht="22.5" customHeight="1" x14ac:dyDescent="0.15">
      <c r="A25" s="129"/>
      <c r="B25" s="511" t="s">
        <v>270</v>
      </c>
      <c r="C25" s="512"/>
      <c r="D25" s="512"/>
      <c r="E25" s="512"/>
      <c r="F25" s="512"/>
      <c r="G25" s="512"/>
      <c r="H25" s="512"/>
      <c r="I25" s="513"/>
      <c r="J25" s="85"/>
    </row>
    <row r="26" spans="1:10" ht="43.5" customHeight="1" x14ac:dyDescent="0.15">
      <c r="A26" s="129"/>
      <c r="B26" s="100" t="s">
        <v>148</v>
      </c>
      <c r="C26" s="138" t="s">
        <v>271</v>
      </c>
      <c r="D26" s="138" t="s">
        <v>272</v>
      </c>
      <c r="E26" s="139" t="s">
        <v>273</v>
      </c>
      <c r="F26" s="138" t="s">
        <v>274</v>
      </c>
      <c r="G26" s="138" t="s">
        <v>275</v>
      </c>
      <c r="H26" s="139" t="s">
        <v>276</v>
      </c>
      <c r="I26" s="140" t="s">
        <v>277</v>
      </c>
      <c r="J26" s="94"/>
    </row>
    <row r="27" spans="1:10" ht="15.5" customHeight="1" x14ac:dyDescent="0.2">
      <c r="A27" s="129"/>
      <c r="B27" s="100" t="s">
        <v>278</v>
      </c>
      <c r="C27" s="229">
        <v>0</v>
      </c>
      <c r="D27" s="229">
        <v>0</v>
      </c>
      <c r="E27" s="230">
        <f>IF(OR(C27=0,C27=""),0,D27/C27)</f>
        <v>0</v>
      </c>
      <c r="F27" s="569">
        <f>SUM(C27:C38)</f>
        <v>0.4</v>
      </c>
      <c r="G27" s="569">
        <f>SUM(D27:D38)</f>
        <v>0.14752000000000001</v>
      </c>
      <c r="H27" s="230">
        <f>+(D27*100%)/$G$23</f>
        <v>0</v>
      </c>
      <c r="I27" s="566">
        <f>G27+I22</f>
        <v>0.24752000000000002</v>
      </c>
      <c r="J27" s="94"/>
    </row>
    <row r="28" spans="1:10" ht="15.5" customHeight="1" x14ac:dyDescent="0.2">
      <c r="A28" s="129"/>
      <c r="B28" s="100" t="s">
        <v>158</v>
      </c>
      <c r="C28" s="229">
        <v>0</v>
      </c>
      <c r="D28" s="229">
        <v>0</v>
      </c>
      <c r="E28" s="230">
        <f t="shared" ref="E28:E38" si="0">IF(OR(C28=0,C28=""),0,D28/C28)</f>
        <v>0</v>
      </c>
      <c r="F28" s="570"/>
      <c r="G28" s="570"/>
      <c r="H28" s="230">
        <f>+IF(D28="","",((D28*100%)/$G$23)+H27)</f>
        <v>0</v>
      </c>
      <c r="I28" s="567"/>
      <c r="J28" s="94"/>
    </row>
    <row r="29" spans="1:10" ht="15.5" customHeight="1" x14ac:dyDescent="0.2">
      <c r="A29" s="129"/>
      <c r="B29" s="100" t="s">
        <v>159</v>
      </c>
      <c r="C29" s="229">
        <f>6.42%*$G$23</f>
        <v>2.5679999999999998E-2</v>
      </c>
      <c r="D29" s="229">
        <f>6.42%*$G$23</f>
        <v>2.5679999999999998E-2</v>
      </c>
      <c r="E29" s="230">
        <f t="shared" si="0"/>
        <v>1</v>
      </c>
      <c r="F29" s="570"/>
      <c r="G29" s="570"/>
      <c r="H29" s="230">
        <f>+IF(D29="","",((D29*100%)/$G$23)+H28)</f>
        <v>6.4199999999999993E-2</v>
      </c>
      <c r="I29" s="567"/>
      <c r="J29" s="94"/>
    </row>
    <row r="30" spans="1:10" ht="15.5" customHeight="1" x14ac:dyDescent="0.2">
      <c r="A30" s="129"/>
      <c r="B30" s="100" t="s">
        <v>160</v>
      </c>
      <c r="C30" s="229">
        <f>6.42%*$G$23</f>
        <v>2.5679999999999998E-2</v>
      </c>
      <c r="D30" s="229">
        <f>6.42%*$G$23</f>
        <v>2.5679999999999998E-2</v>
      </c>
      <c r="E30" s="230">
        <f t="shared" si="0"/>
        <v>1</v>
      </c>
      <c r="F30" s="570"/>
      <c r="G30" s="570"/>
      <c r="H30" s="230">
        <f t="shared" ref="H30:H38" si="1">+IF(D30="","",((D30*100%)/$G$23)+H29)</f>
        <v>0.12839999999999999</v>
      </c>
      <c r="I30" s="567"/>
      <c r="J30" s="94"/>
    </row>
    <row r="31" spans="1:10" ht="15.5" customHeight="1" x14ac:dyDescent="0.2">
      <c r="A31" s="129"/>
      <c r="B31" s="100" t="s">
        <v>161</v>
      </c>
      <c r="C31" s="229">
        <f>24.04%*$G$23</f>
        <v>9.6160000000000009E-2</v>
      </c>
      <c r="D31" s="229">
        <f>24.04%*$G$23</f>
        <v>9.6160000000000009E-2</v>
      </c>
      <c r="E31" s="230">
        <f t="shared" si="0"/>
        <v>1</v>
      </c>
      <c r="F31" s="570"/>
      <c r="G31" s="570"/>
      <c r="H31" s="230">
        <f t="shared" si="1"/>
        <v>0.36880000000000002</v>
      </c>
      <c r="I31" s="567"/>
      <c r="J31" s="94"/>
    </row>
    <row r="32" spans="1:10" ht="15.5" customHeight="1" x14ac:dyDescent="0.2">
      <c r="A32" s="129"/>
      <c r="B32" s="100" t="s">
        <v>162</v>
      </c>
      <c r="C32" s="229">
        <f>21.44%*G23</f>
        <v>8.5760000000000003E-2</v>
      </c>
      <c r="D32" s="229">
        <v>0</v>
      </c>
      <c r="E32" s="230">
        <f t="shared" si="0"/>
        <v>0</v>
      </c>
      <c r="F32" s="570"/>
      <c r="G32" s="570"/>
      <c r="H32" s="230">
        <f t="shared" si="1"/>
        <v>0.36880000000000002</v>
      </c>
      <c r="I32" s="567"/>
      <c r="J32" s="94"/>
    </row>
    <row r="33" spans="1:10" ht="19.5" customHeight="1" x14ac:dyDescent="0.2">
      <c r="A33" s="129"/>
      <c r="B33" s="100" t="s">
        <v>163</v>
      </c>
      <c r="C33" s="229">
        <f>4.94%*$G$23</f>
        <v>1.9760000000000003E-2</v>
      </c>
      <c r="D33" s="229">
        <v>0</v>
      </c>
      <c r="E33" s="230">
        <f t="shared" si="0"/>
        <v>0</v>
      </c>
      <c r="F33" s="570"/>
      <c r="G33" s="570"/>
      <c r="H33" s="230">
        <f t="shared" si="1"/>
        <v>0.36880000000000002</v>
      </c>
      <c r="I33" s="567"/>
      <c r="J33" s="102"/>
    </row>
    <row r="34" spans="1:10" ht="19.5" customHeight="1" x14ac:dyDescent="0.2">
      <c r="A34" s="129"/>
      <c r="B34" s="100" t="s">
        <v>164</v>
      </c>
      <c r="C34" s="229">
        <f>4.94%*$G$23</f>
        <v>1.9760000000000003E-2</v>
      </c>
      <c r="D34" s="229">
        <v>0</v>
      </c>
      <c r="E34" s="230">
        <f t="shared" si="0"/>
        <v>0</v>
      </c>
      <c r="F34" s="570"/>
      <c r="G34" s="570"/>
      <c r="H34" s="230">
        <f t="shared" si="1"/>
        <v>0.36880000000000002</v>
      </c>
      <c r="I34" s="567"/>
      <c r="J34" s="102"/>
    </row>
    <row r="35" spans="1:10" ht="19.5" customHeight="1" x14ac:dyDescent="0.2">
      <c r="A35" s="129"/>
      <c r="B35" s="100" t="s">
        <v>165</v>
      </c>
      <c r="C35" s="229">
        <f>4.94%*$G$23</f>
        <v>1.9760000000000003E-2</v>
      </c>
      <c r="D35" s="229"/>
      <c r="E35" s="230">
        <f t="shared" si="0"/>
        <v>0</v>
      </c>
      <c r="F35" s="570"/>
      <c r="G35" s="570"/>
      <c r="H35" s="230" t="str">
        <f t="shared" si="1"/>
        <v/>
      </c>
      <c r="I35" s="567"/>
      <c r="J35" s="102" t="s">
        <v>279</v>
      </c>
    </row>
    <row r="36" spans="1:10" ht="19.5" customHeight="1" x14ac:dyDescent="0.2">
      <c r="A36" s="129"/>
      <c r="B36" s="100" t="s">
        <v>166</v>
      </c>
      <c r="C36" s="229">
        <f>4.94%*$G$23</f>
        <v>1.9760000000000003E-2</v>
      </c>
      <c r="D36" s="229"/>
      <c r="E36" s="230">
        <f t="shared" si="0"/>
        <v>0</v>
      </c>
      <c r="F36" s="570"/>
      <c r="G36" s="570"/>
      <c r="H36" s="230" t="str">
        <f t="shared" si="1"/>
        <v/>
      </c>
      <c r="I36" s="567"/>
      <c r="J36" s="102"/>
    </row>
    <row r="37" spans="1:10" ht="19.5" customHeight="1" x14ac:dyDescent="0.2">
      <c r="A37" s="129"/>
      <c r="B37" s="100" t="s">
        <v>167</v>
      </c>
      <c r="C37" s="229">
        <f>4.94%*$G$23</f>
        <v>1.9760000000000003E-2</v>
      </c>
      <c r="D37" s="229"/>
      <c r="E37" s="230">
        <f t="shared" si="0"/>
        <v>0</v>
      </c>
      <c r="F37" s="570"/>
      <c r="G37" s="570"/>
      <c r="H37" s="230" t="str">
        <f t="shared" si="1"/>
        <v/>
      </c>
      <c r="I37" s="567"/>
      <c r="J37" s="102"/>
    </row>
    <row r="38" spans="1:10" ht="19.5" customHeight="1" x14ac:dyDescent="0.2">
      <c r="A38" s="129"/>
      <c r="B38" s="100" t="s">
        <v>168</v>
      </c>
      <c r="C38" s="229">
        <f>(12.04%+4.94%)*$G$23</f>
        <v>6.7920000000000008E-2</v>
      </c>
      <c r="D38" s="229"/>
      <c r="E38" s="230">
        <f t="shared" si="0"/>
        <v>0</v>
      </c>
      <c r="F38" s="571"/>
      <c r="G38" s="571"/>
      <c r="H38" s="230" t="str">
        <f t="shared" si="1"/>
        <v/>
      </c>
      <c r="I38" s="568"/>
      <c r="J38" s="102"/>
    </row>
    <row r="39" spans="1:10" ht="169.25" customHeight="1" x14ac:dyDescent="0.15">
      <c r="A39" s="129"/>
      <c r="B39" s="119" t="s">
        <v>280</v>
      </c>
      <c r="C39" s="554" t="s">
        <v>281</v>
      </c>
      <c r="D39" s="555"/>
      <c r="E39" s="555"/>
      <c r="F39" s="555"/>
      <c r="G39" s="555"/>
      <c r="H39" s="555"/>
      <c r="I39" s="556"/>
      <c r="J39" s="103"/>
    </row>
    <row r="40" spans="1:10" ht="34.5" customHeight="1" x14ac:dyDescent="0.15">
      <c r="A40" s="129"/>
      <c r="B40" s="557"/>
      <c r="C40" s="558"/>
      <c r="D40" s="558"/>
      <c r="E40" s="558"/>
      <c r="F40" s="558"/>
      <c r="G40" s="558"/>
      <c r="H40" s="558"/>
      <c r="I40" s="559"/>
      <c r="J40" s="85"/>
    </row>
    <row r="41" spans="1:10" ht="34.5" customHeight="1" x14ac:dyDescent="0.15">
      <c r="A41" s="129"/>
      <c r="B41" s="560"/>
      <c r="C41" s="561"/>
      <c r="D41" s="561"/>
      <c r="E41" s="561"/>
      <c r="F41" s="561"/>
      <c r="G41" s="561"/>
      <c r="H41" s="561"/>
      <c r="I41" s="562"/>
      <c r="J41" s="103"/>
    </row>
    <row r="42" spans="1:10" ht="34.5" customHeight="1" x14ac:dyDescent="0.15">
      <c r="A42" s="129"/>
      <c r="B42" s="560"/>
      <c r="C42" s="561"/>
      <c r="D42" s="561"/>
      <c r="E42" s="561"/>
      <c r="F42" s="561"/>
      <c r="G42" s="561"/>
      <c r="H42" s="561"/>
      <c r="I42" s="562"/>
      <c r="J42" s="103"/>
    </row>
    <row r="43" spans="1:10" ht="34.5" customHeight="1" x14ac:dyDescent="0.15">
      <c r="A43" s="129"/>
      <c r="B43" s="560"/>
      <c r="C43" s="561"/>
      <c r="D43" s="561"/>
      <c r="E43" s="561"/>
      <c r="F43" s="561"/>
      <c r="G43" s="561"/>
      <c r="H43" s="561"/>
      <c r="I43" s="562"/>
      <c r="J43" s="103"/>
    </row>
    <row r="44" spans="1:10" ht="34.5" customHeight="1" x14ac:dyDescent="0.15">
      <c r="A44" s="129"/>
      <c r="B44" s="563"/>
      <c r="C44" s="564"/>
      <c r="D44" s="564"/>
      <c r="E44" s="564"/>
      <c r="F44" s="564"/>
      <c r="G44" s="564"/>
      <c r="H44" s="564"/>
      <c r="I44" s="565"/>
      <c r="J44" s="84"/>
    </row>
    <row r="45" spans="1:10" ht="140.25" customHeight="1" x14ac:dyDescent="0.15">
      <c r="A45" s="129"/>
      <c r="B45" s="118" t="s">
        <v>282</v>
      </c>
      <c r="C45" s="572" t="s">
        <v>466</v>
      </c>
      <c r="D45" s="573"/>
      <c r="E45" s="573"/>
      <c r="F45" s="573"/>
      <c r="G45" s="573"/>
      <c r="H45" s="573"/>
      <c r="I45" s="574"/>
      <c r="J45" s="104"/>
    </row>
    <row r="46" spans="1:10" ht="75" customHeight="1" x14ac:dyDescent="0.15">
      <c r="A46" s="129"/>
      <c r="B46" s="118" t="s">
        <v>283</v>
      </c>
      <c r="C46" s="572" t="s">
        <v>46</v>
      </c>
      <c r="D46" s="573"/>
      <c r="E46" s="573"/>
      <c r="F46" s="573"/>
      <c r="G46" s="573"/>
      <c r="H46" s="573"/>
      <c r="I46" s="574"/>
      <c r="J46" s="104"/>
    </row>
    <row r="47" spans="1:10" ht="65.25" customHeight="1" x14ac:dyDescent="0.15">
      <c r="A47" s="129"/>
      <c r="B47" s="120" t="s">
        <v>284</v>
      </c>
      <c r="C47" s="583" t="s">
        <v>285</v>
      </c>
      <c r="D47" s="584"/>
      <c r="E47" s="584"/>
      <c r="F47" s="584"/>
      <c r="G47" s="584"/>
      <c r="H47" s="584"/>
      <c r="I47" s="585"/>
      <c r="J47" s="104"/>
    </row>
    <row r="48" spans="1:10" ht="22.5" customHeight="1" x14ac:dyDescent="0.15">
      <c r="A48" s="129"/>
      <c r="B48" s="511" t="s">
        <v>286</v>
      </c>
      <c r="C48" s="512"/>
      <c r="D48" s="512"/>
      <c r="E48" s="512"/>
      <c r="F48" s="512"/>
      <c r="G48" s="512"/>
      <c r="H48" s="512"/>
      <c r="I48" s="513"/>
      <c r="J48" s="104"/>
    </row>
    <row r="49" spans="1:10" ht="22.5" customHeight="1" x14ac:dyDescent="0.15">
      <c r="A49" s="129"/>
      <c r="B49" s="579" t="s">
        <v>287</v>
      </c>
      <c r="C49" s="141" t="s">
        <v>288</v>
      </c>
      <c r="D49" s="581" t="s">
        <v>289</v>
      </c>
      <c r="E49" s="581"/>
      <c r="F49" s="581"/>
      <c r="G49" s="581" t="s">
        <v>290</v>
      </c>
      <c r="H49" s="581"/>
      <c r="I49" s="582"/>
      <c r="J49" s="105"/>
    </row>
    <row r="50" spans="1:10" ht="30.75" customHeight="1" x14ac:dyDescent="0.15">
      <c r="A50" s="129"/>
      <c r="B50" s="580"/>
      <c r="C50" s="231"/>
      <c r="D50" s="575"/>
      <c r="E50" s="575"/>
      <c r="F50" s="575"/>
      <c r="G50" s="575"/>
      <c r="H50" s="575"/>
      <c r="I50" s="576"/>
      <c r="J50" s="105"/>
    </row>
    <row r="51" spans="1:10" ht="32.25" customHeight="1" x14ac:dyDescent="0.15">
      <c r="A51" s="129"/>
      <c r="B51" s="121" t="s">
        <v>291</v>
      </c>
      <c r="C51" s="575" t="s">
        <v>292</v>
      </c>
      <c r="D51" s="575"/>
      <c r="E51" s="575"/>
      <c r="F51" s="575"/>
      <c r="G51" s="575"/>
      <c r="H51" s="575"/>
      <c r="I51" s="576"/>
      <c r="J51" s="106"/>
    </row>
    <row r="52" spans="1:10" ht="28.5" customHeight="1" x14ac:dyDescent="0.15">
      <c r="A52" s="129"/>
      <c r="B52" s="122" t="s">
        <v>293</v>
      </c>
      <c r="C52" s="575" t="s">
        <v>292</v>
      </c>
      <c r="D52" s="575"/>
      <c r="E52" s="575"/>
      <c r="F52" s="575"/>
      <c r="G52" s="575"/>
      <c r="H52" s="575"/>
      <c r="I52" s="576"/>
      <c r="J52" s="106"/>
    </row>
    <row r="53" spans="1:10" ht="30" customHeight="1" x14ac:dyDescent="0.15">
      <c r="A53" s="129"/>
      <c r="B53" s="120" t="s">
        <v>294</v>
      </c>
      <c r="C53" s="575" t="s">
        <v>295</v>
      </c>
      <c r="D53" s="575"/>
      <c r="E53" s="575"/>
      <c r="F53" s="575"/>
      <c r="G53" s="575"/>
      <c r="H53" s="575"/>
      <c r="I53" s="576"/>
      <c r="J53" s="107"/>
    </row>
    <row r="54" spans="1:10" ht="31.5" customHeight="1" thickBot="1" x14ac:dyDescent="0.2">
      <c r="A54" s="130"/>
      <c r="B54" s="116" t="s">
        <v>296</v>
      </c>
      <c r="C54" s="577" t="s">
        <v>297</v>
      </c>
      <c r="D54" s="577"/>
      <c r="E54" s="577"/>
      <c r="F54" s="577"/>
      <c r="G54" s="577"/>
      <c r="H54" s="577"/>
      <c r="I54" s="578"/>
      <c r="J54" s="108"/>
    </row>
    <row r="55" spans="1:10" x14ac:dyDescent="0.15">
      <c r="B55" s="109"/>
      <c r="C55" s="110"/>
      <c r="D55" s="110"/>
      <c r="E55" s="111"/>
      <c r="F55" s="111"/>
      <c r="G55" s="117"/>
      <c r="H55" s="113"/>
      <c r="I55" s="110"/>
      <c r="J55" s="108"/>
    </row>
    <row r="56" spans="1:10" x14ac:dyDescent="0.15">
      <c r="B56" s="109"/>
      <c r="C56" s="110"/>
      <c r="D56" s="110"/>
      <c r="E56" s="111"/>
      <c r="F56" s="111"/>
      <c r="G56" s="117"/>
      <c r="H56" s="113"/>
      <c r="I56" s="110"/>
      <c r="J56" s="108"/>
    </row>
    <row r="57" spans="1:10" x14ac:dyDescent="0.15">
      <c r="B57" s="109"/>
      <c r="C57" s="110"/>
      <c r="D57" s="110"/>
      <c r="E57" s="111"/>
      <c r="F57" s="111"/>
      <c r="G57" s="117"/>
      <c r="H57" s="113"/>
      <c r="I57" s="110"/>
      <c r="J57" s="108"/>
    </row>
    <row r="58" spans="1:10" x14ac:dyDescent="0.15">
      <c r="B58" s="109"/>
      <c r="C58" s="110"/>
      <c r="D58" s="110"/>
      <c r="E58" s="111"/>
      <c r="F58" s="111"/>
      <c r="G58" s="117"/>
      <c r="H58" s="113"/>
      <c r="I58" s="110"/>
      <c r="J58" s="108"/>
    </row>
    <row r="59" spans="1:10" x14ac:dyDescent="0.15">
      <c r="B59" s="109"/>
      <c r="C59" s="110"/>
      <c r="D59" s="110"/>
      <c r="E59" s="111"/>
      <c r="F59" s="111"/>
      <c r="G59" s="117"/>
      <c r="H59" s="113"/>
      <c r="I59" s="110"/>
      <c r="J59" s="108"/>
    </row>
    <row r="60" spans="1:10" ht="25.5" customHeight="1" x14ac:dyDescent="0.15">
      <c r="B60" s="109"/>
      <c r="C60" s="110"/>
      <c r="D60" s="110"/>
      <c r="E60" s="111"/>
      <c r="F60" s="111"/>
      <c r="G60" s="117"/>
      <c r="H60" s="113"/>
      <c r="I60" s="110"/>
      <c r="J60" s="108"/>
    </row>
  </sheetData>
  <mergeCells count="59">
    <mergeCell ref="C45:I45"/>
    <mergeCell ref="C53:I53"/>
    <mergeCell ref="C54:I54"/>
    <mergeCell ref="B49:B50"/>
    <mergeCell ref="D49:F49"/>
    <mergeCell ref="G49:I49"/>
    <mergeCell ref="D50:F50"/>
    <mergeCell ref="G50:I50"/>
    <mergeCell ref="C51:I51"/>
    <mergeCell ref="B48:I48"/>
    <mergeCell ref="C46:I46"/>
    <mergeCell ref="C47:I47"/>
    <mergeCell ref="C52:I52"/>
    <mergeCell ref="C24:E24"/>
    <mergeCell ref="G24:I24"/>
    <mergeCell ref="B25:I25"/>
    <mergeCell ref="C39:I39"/>
    <mergeCell ref="B40:I44"/>
    <mergeCell ref="I27:I38"/>
    <mergeCell ref="G27:G38"/>
    <mergeCell ref="F27:F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phoneticPr fontId="74" type="noConversion"/>
  <dataValidations count="2">
    <dataValidation type="list" allowBlank="1" showInputMessage="1" showErrorMessage="1" sqref="C7 I7" xr:uid="{ED8530C7-01D7-464F-9F5F-ACF2F40B37DC}">
      <formula1>#REF!</formula1>
    </dataValidation>
    <dataValidation type="list" allowBlank="1" showInputMessage="1" showErrorMessage="1" sqref="J10 H12:I13 C24:E24 C9:F9" xr:uid="{50695522-8E85-49C3-8E03-D606C7C139B1}">
      <formula1>#REF!</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49" zoomScale="80" zoomScaleNormal="70" zoomScaleSheetLayoutView="80" zoomScalePageLayoutView="85" workbookViewId="0">
      <selection activeCell="D33" sqref="D33"/>
    </sheetView>
  </sheetViews>
  <sheetFormatPr baseColWidth="10" defaultColWidth="10.6640625" defaultRowHeight="13" x14ac:dyDescent="0.15"/>
  <cols>
    <col min="1" max="1" width="1" style="83" customWidth="1"/>
    <col min="2" max="2" width="25.5" style="114" customWidth="1"/>
    <col min="3" max="5" width="25.6640625" style="83" customWidth="1"/>
    <col min="6" max="6" width="25" style="83" customWidth="1"/>
    <col min="7" max="7" width="22" style="114" customWidth="1"/>
    <col min="8" max="8" width="20.5" style="83" customWidth="1"/>
    <col min="9" max="9" width="25.33203125" style="83" customWidth="1"/>
    <col min="10" max="11" width="22.5" style="83" customWidth="1"/>
    <col min="12" max="24" width="10.6640625" style="81"/>
    <col min="25" max="16384" width="10.6640625" style="83"/>
  </cols>
  <sheetData>
    <row r="1" spans="2:14" ht="37.5" customHeight="1" x14ac:dyDescent="0.15">
      <c r="B1" s="499"/>
      <c r="C1" s="586" t="s">
        <v>1</v>
      </c>
      <c r="D1" s="586"/>
      <c r="E1" s="586"/>
      <c r="F1" s="586"/>
      <c r="G1" s="586"/>
      <c r="H1" s="586"/>
      <c r="I1" s="503"/>
      <c r="J1" s="80"/>
      <c r="K1" s="80"/>
      <c r="M1" s="82" t="s">
        <v>67</v>
      </c>
    </row>
    <row r="2" spans="2:14" ht="37.5" customHeight="1" x14ac:dyDescent="0.15">
      <c r="B2" s="500"/>
      <c r="C2" s="506" t="s">
        <v>218</v>
      </c>
      <c r="D2" s="506"/>
      <c r="E2" s="506"/>
      <c r="F2" s="506"/>
      <c r="G2" s="506"/>
      <c r="H2" s="506"/>
      <c r="I2" s="504"/>
      <c r="J2" s="80"/>
      <c r="K2" s="80"/>
      <c r="M2" s="82" t="s">
        <v>68</v>
      </c>
    </row>
    <row r="3" spans="2:14" ht="37.5" customHeight="1" thickBot="1" x14ac:dyDescent="0.2">
      <c r="B3" s="501"/>
      <c r="C3" s="507" t="s">
        <v>219</v>
      </c>
      <c r="D3" s="507"/>
      <c r="E3" s="507"/>
      <c r="F3" s="507" t="s">
        <v>220</v>
      </c>
      <c r="G3" s="507"/>
      <c r="H3" s="507"/>
      <c r="I3" s="505"/>
      <c r="J3" s="80"/>
      <c r="K3" s="80"/>
      <c r="M3" s="82" t="s">
        <v>70</v>
      </c>
    </row>
    <row r="4" spans="2:14" ht="23.25" customHeight="1" x14ac:dyDescent="0.15">
      <c r="B4" s="508" t="s">
        <v>221</v>
      </c>
      <c r="C4" s="509"/>
      <c r="D4" s="509"/>
      <c r="E4" s="509"/>
      <c r="F4" s="509"/>
      <c r="G4" s="509"/>
      <c r="H4" s="509"/>
      <c r="I4" s="510"/>
      <c r="J4" s="84"/>
      <c r="K4" s="84"/>
    </row>
    <row r="5" spans="2:14" ht="24" customHeight="1" x14ac:dyDescent="0.15">
      <c r="B5" s="511" t="s">
        <v>222</v>
      </c>
      <c r="C5" s="512"/>
      <c r="D5" s="512"/>
      <c r="E5" s="512"/>
      <c r="F5" s="512"/>
      <c r="G5" s="512"/>
      <c r="H5" s="512"/>
      <c r="I5" s="513"/>
      <c r="J5" s="85"/>
      <c r="K5" s="85"/>
      <c r="N5" s="86"/>
    </row>
    <row r="6" spans="2:14" ht="30.75" customHeight="1" x14ac:dyDescent="0.15">
      <c r="B6" s="118" t="s">
        <v>223</v>
      </c>
      <c r="C6" s="134">
        <v>2</v>
      </c>
      <c r="D6" s="514" t="s">
        <v>224</v>
      </c>
      <c r="E6" s="514"/>
      <c r="F6" s="515" t="s">
        <v>298</v>
      </c>
      <c r="G6" s="515"/>
      <c r="H6" s="515"/>
      <c r="I6" s="516"/>
      <c r="J6" s="87"/>
      <c r="K6" s="87"/>
      <c r="M6" s="82" t="s">
        <v>81</v>
      </c>
      <c r="N6" s="86"/>
    </row>
    <row r="7" spans="2:14" ht="30.75" customHeight="1" x14ac:dyDescent="0.15">
      <c r="B7" s="118" t="s">
        <v>226</v>
      </c>
      <c r="C7" s="134" t="s">
        <v>84</v>
      </c>
      <c r="D7" s="514" t="s">
        <v>227</v>
      </c>
      <c r="E7" s="514"/>
      <c r="F7" s="517" t="s">
        <v>299</v>
      </c>
      <c r="G7" s="517"/>
      <c r="H7" s="135" t="s">
        <v>229</v>
      </c>
      <c r="I7" s="136" t="s">
        <v>84</v>
      </c>
      <c r="J7" s="88"/>
      <c r="K7" s="88"/>
      <c r="M7" s="82" t="s">
        <v>88</v>
      </c>
      <c r="N7" s="86"/>
    </row>
    <row r="8" spans="2:14" ht="30.75" customHeight="1" x14ac:dyDescent="0.15">
      <c r="B8" s="118" t="s">
        <v>230</v>
      </c>
      <c r="C8" s="515" t="s">
        <v>231</v>
      </c>
      <c r="D8" s="515"/>
      <c r="E8" s="515"/>
      <c r="F8" s="515"/>
      <c r="G8" s="135" t="s">
        <v>232</v>
      </c>
      <c r="H8" s="520">
        <v>7550</v>
      </c>
      <c r="I8" s="521"/>
      <c r="J8" s="89"/>
      <c r="K8" s="89"/>
      <c r="M8" s="82" t="s">
        <v>93</v>
      </c>
      <c r="N8" s="86"/>
    </row>
    <row r="9" spans="2:14" ht="30.75" customHeight="1" x14ac:dyDescent="0.15">
      <c r="B9" s="118" t="s">
        <v>68</v>
      </c>
      <c r="C9" s="522" t="s">
        <v>81</v>
      </c>
      <c r="D9" s="522"/>
      <c r="E9" s="522"/>
      <c r="F9" s="522"/>
      <c r="G9" s="135" t="s">
        <v>233</v>
      </c>
      <c r="H9" s="523" t="s">
        <v>234</v>
      </c>
      <c r="I9" s="524"/>
      <c r="J9" s="90"/>
      <c r="K9" s="90"/>
      <c r="M9" s="91" t="s">
        <v>97</v>
      </c>
    </row>
    <row r="10" spans="2:14" ht="98.25" customHeight="1" x14ac:dyDescent="0.15">
      <c r="B10" s="118" t="s">
        <v>235</v>
      </c>
      <c r="C10" s="515" t="s">
        <v>300</v>
      </c>
      <c r="D10" s="515"/>
      <c r="E10" s="515"/>
      <c r="F10" s="515"/>
      <c r="G10" s="515"/>
      <c r="H10" s="515"/>
      <c r="I10" s="516"/>
      <c r="J10" s="92"/>
      <c r="K10" s="92"/>
      <c r="M10" s="91"/>
    </row>
    <row r="11" spans="2:14" ht="30.75" customHeight="1" x14ac:dyDescent="0.15">
      <c r="B11" s="118" t="s">
        <v>237</v>
      </c>
      <c r="C11" s="515" t="s">
        <v>238</v>
      </c>
      <c r="D11" s="515"/>
      <c r="E11" s="515"/>
      <c r="F11" s="515"/>
      <c r="G11" s="515"/>
      <c r="H11" s="515"/>
      <c r="I11" s="516"/>
      <c r="J11" s="88"/>
      <c r="K11" s="88"/>
      <c r="M11" s="91"/>
      <c r="N11" s="86"/>
    </row>
    <row r="12" spans="2:14" ht="30.75" customHeight="1" x14ac:dyDescent="0.15">
      <c r="B12" s="118" t="s">
        <v>239</v>
      </c>
      <c r="C12" s="518" t="s">
        <v>301</v>
      </c>
      <c r="D12" s="518"/>
      <c r="E12" s="518"/>
      <c r="F12" s="518"/>
      <c r="G12" s="135" t="s">
        <v>241</v>
      </c>
      <c r="H12" s="517" t="s">
        <v>106</v>
      </c>
      <c r="I12" s="525"/>
      <c r="J12" s="88"/>
      <c r="K12" s="88"/>
      <c r="M12" s="91" t="s">
        <v>107</v>
      </c>
      <c r="N12" s="86"/>
    </row>
    <row r="13" spans="2:14" ht="30.75" customHeight="1" x14ac:dyDescent="0.15">
      <c r="B13" s="118" t="s">
        <v>242</v>
      </c>
      <c r="C13" s="526" t="s">
        <v>243</v>
      </c>
      <c r="D13" s="526"/>
      <c r="E13" s="526"/>
      <c r="F13" s="526"/>
      <c r="G13" s="138" t="s">
        <v>244</v>
      </c>
      <c r="H13" s="517" t="s">
        <v>82</v>
      </c>
      <c r="I13" s="525"/>
      <c r="J13" s="88"/>
      <c r="K13" s="88"/>
      <c r="M13" s="91" t="s">
        <v>111</v>
      </c>
    </row>
    <row r="14" spans="2:14" ht="64.5" customHeight="1" x14ac:dyDescent="0.15">
      <c r="B14" s="118" t="s">
        <v>245</v>
      </c>
      <c r="C14" s="518" t="s">
        <v>302</v>
      </c>
      <c r="D14" s="518"/>
      <c r="E14" s="518"/>
      <c r="F14" s="518"/>
      <c r="G14" s="518"/>
      <c r="H14" s="518"/>
      <c r="I14" s="519"/>
      <c r="J14" s="92"/>
      <c r="K14" s="92"/>
      <c r="M14" s="91" t="s">
        <v>114</v>
      </c>
      <c r="N14" s="86"/>
    </row>
    <row r="15" spans="2:14" ht="30.75" customHeight="1" x14ac:dyDescent="0.15">
      <c r="B15" s="118" t="s">
        <v>247</v>
      </c>
      <c r="C15" s="518" t="s">
        <v>303</v>
      </c>
      <c r="D15" s="518"/>
      <c r="E15" s="518"/>
      <c r="F15" s="518"/>
      <c r="G15" s="518"/>
      <c r="H15" s="518"/>
      <c r="I15" s="519"/>
      <c r="J15" s="93"/>
      <c r="K15" s="93"/>
      <c r="M15" s="91" t="s">
        <v>118</v>
      </c>
      <c r="N15" s="86"/>
    </row>
    <row r="16" spans="2:14" ht="35.75" customHeight="1" x14ac:dyDescent="0.15">
      <c r="B16" s="118" t="s">
        <v>249</v>
      </c>
      <c r="C16" s="515" t="s">
        <v>304</v>
      </c>
      <c r="D16" s="515"/>
      <c r="E16" s="515"/>
      <c r="F16" s="515"/>
      <c r="G16" s="515"/>
      <c r="H16" s="515"/>
      <c r="I16" s="516"/>
      <c r="J16" s="94"/>
      <c r="K16" s="94"/>
      <c r="M16" s="91"/>
      <c r="N16" s="86"/>
    </row>
    <row r="17" spans="2:14" ht="30.75" customHeight="1" x14ac:dyDescent="0.15">
      <c r="B17" s="118" t="s">
        <v>251</v>
      </c>
      <c r="C17" s="517" t="s">
        <v>43</v>
      </c>
      <c r="D17" s="533"/>
      <c r="E17" s="533"/>
      <c r="F17" s="533"/>
      <c r="G17" s="533"/>
      <c r="H17" s="533"/>
      <c r="I17" s="534"/>
      <c r="J17" s="95"/>
      <c r="K17" s="95"/>
      <c r="M17" s="91" t="s">
        <v>106</v>
      </c>
      <c r="N17" s="86"/>
    </row>
    <row r="18" spans="2:14" ht="18" customHeight="1" x14ac:dyDescent="0.15">
      <c r="B18" s="535" t="s">
        <v>253</v>
      </c>
      <c r="C18" s="536" t="s">
        <v>254</v>
      </c>
      <c r="D18" s="536"/>
      <c r="E18" s="536"/>
      <c r="F18" s="537" t="s">
        <v>255</v>
      </c>
      <c r="G18" s="537"/>
      <c r="H18" s="537"/>
      <c r="I18" s="538"/>
      <c r="J18" s="96"/>
      <c r="K18" s="96"/>
      <c r="M18" s="91" t="s">
        <v>128</v>
      </c>
      <c r="N18" s="86"/>
    </row>
    <row r="19" spans="2:14" ht="39.75" customHeight="1" x14ac:dyDescent="0.15">
      <c r="B19" s="535"/>
      <c r="C19" s="515" t="s">
        <v>305</v>
      </c>
      <c r="D19" s="515"/>
      <c r="E19" s="515"/>
      <c r="F19" s="515" t="s">
        <v>306</v>
      </c>
      <c r="G19" s="515"/>
      <c r="H19" s="515"/>
      <c r="I19" s="516"/>
      <c r="J19" s="94"/>
      <c r="K19" s="94"/>
      <c r="M19" s="91" t="s">
        <v>132</v>
      </c>
      <c r="N19" s="86"/>
    </row>
    <row r="20" spans="2:14" ht="39.75" customHeight="1" x14ac:dyDescent="0.15">
      <c r="B20" s="118" t="s">
        <v>258</v>
      </c>
      <c r="C20" s="539" t="s">
        <v>43</v>
      </c>
      <c r="D20" s="540"/>
      <c r="E20" s="541"/>
      <c r="F20" s="542" t="s">
        <v>43</v>
      </c>
      <c r="G20" s="542"/>
      <c r="H20" s="542"/>
      <c r="I20" s="543"/>
      <c r="J20" s="88"/>
      <c r="K20" s="88"/>
      <c r="M20" s="91"/>
      <c r="N20" s="86"/>
    </row>
    <row r="21" spans="2:14" ht="105" customHeight="1" x14ac:dyDescent="0.15">
      <c r="B21" s="118" t="s">
        <v>259</v>
      </c>
      <c r="C21" s="593" t="s">
        <v>307</v>
      </c>
      <c r="D21" s="594"/>
      <c r="E21" s="595"/>
      <c r="F21" s="596" t="s">
        <v>308</v>
      </c>
      <c r="G21" s="588"/>
      <c r="H21" s="588"/>
      <c r="I21" s="597"/>
      <c r="J21" s="93"/>
      <c r="K21" s="93"/>
      <c r="M21" s="97"/>
      <c r="N21" s="86"/>
    </row>
    <row r="22" spans="2:14" ht="23.25" customHeight="1" x14ac:dyDescent="0.15">
      <c r="B22" s="118" t="s">
        <v>262</v>
      </c>
      <c r="C22" s="587">
        <v>44562</v>
      </c>
      <c r="D22" s="598"/>
      <c r="E22" s="599"/>
      <c r="F22" s="135" t="s">
        <v>263</v>
      </c>
      <c r="G22" s="232">
        <v>8.5000000000000006E-2</v>
      </c>
      <c r="H22" s="135" t="s">
        <v>264</v>
      </c>
      <c r="I22" s="137">
        <v>8.5000000000000006E-2</v>
      </c>
      <c r="J22" s="98"/>
      <c r="K22" s="98"/>
      <c r="M22" s="97"/>
    </row>
    <row r="23" spans="2:14" ht="27" customHeight="1" x14ac:dyDescent="0.15">
      <c r="B23" s="118" t="s">
        <v>265</v>
      </c>
      <c r="C23" s="587">
        <v>44926</v>
      </c>
      <c r="D23" s="588"/>
      <c r="E23" s="589"/>
      <c r="F23" s="135" t="s">
        <v>266</v>
      </c>
      <c r="G23" s="590">
        <v>0.3</v>
      </c>
      <c r="H23" s="591"/>
      <c r="I23" s="592"/>
      <c r="J23" s="99"/>
      <c r="K23" s="99"/>
      <c r="M23" s="97"/>
    </row>
    <row r="24" spans="2:14" ht="30.75" customHeight="1" x14ac:dyDescent="0.15">
      <c r="B24" s="227" t="s">
        <v>267</v>
      </c>
      <c r="C24" s="600" t="s">
        <v>268</v>
      </c>
      <c r="D24" s="601"/>
      <c r="E24" s="602"/>
      <c r="F24" s="228" t="s">
        <v>269</v>
      </c>
      <c r="G24" s="547" t="s">
        <v>46</v>
      </c>
      <c r="H24" s="528"/>
      <c r="I24" s="548"/>
      <c r="J24" s="96"/>
      <c r="K24" s="96"/>
      <c r="M24" s="97"/>
    </row>
    <row r="25" spans="2:14" ht="22.5" customHeight="1" x14ac:dyDescent="0.15">
      <c r="B25" s="511" t="s">
        <v>270</v>
      </c>
      <c r="C25" s="512"/>
      <c r="D25" s="512"/>
      <c r="E25" s="512"/>
      <c r="F25" s="512"/>
      <c r="G25" s="512"/>
      <c r="H25" s="512"/>
      <c r="I25" s="513"/>
      <c r="J25" s="85"/>
      <c r="K25" s="85"/>
      <c r="M25" s="97"/>
    </row>
    <row r="26" spans="2:14" ht="43.5" customHeight="1" x14ac:dyDescent="0.15">
      <c r="B26" s="100" t="s">
        <v>148</v>
      </c>
      <c r="C26" s="138" t="s">
        <v>271</v>
      </c>
      <c r="D26" s="138" t="s">
        <v>272</v>
      </c>
      <c r="E26" s="139" t="s">
        <v>273</v>
      </c>
      <c r="F26" s="138" t="s">
        <v>274</v>
      </c>
      <c r="G26" s="138" t="s">
        <v>275</v>
      </c>
      <c r="H26" s="139" t="s">
        <v>276</v>
      </c>
      <c r="I26" s="140" t="s">
        <v>277</v>
      </c>
      <c r="J26" s="94"/>
      <c r="K26" s="94"/>
      <c r="M26" s="97"/>
    </row>
    <row r="27" spans="2:14" ht="15.5" customHeight="1" x14ac:dyDescent="0.15">
      <c r="B27" s="100" t="s">
        <v>278</v>
      </c>
      <c r="C27" s="233">
        <f>8.33%*$G$23</f>
        <v>2.4989999999999998E-2</v>
      </c>
      <c r="D27" s="233">
        <f>8.33%*$G$23</f>
        <v>2.4989999999999998E-2</v>
      </c>
      <c r="E27" s="131">
        <f>D27/C27</f>
        <v>1</v>
      </c>
      <c r="F27" s="603">
        <f>SUM(C27:C38)</f>
        <v>0.29988000000000004</v>
      </c>
      <c r="G27" s="603">
        <f>SUM(D27:D38)</f>
        <v>0.19991999999999999</v>
      </c>
      <c r="H27" s="234">
        <f>+(D27*100%)/$G$23</f>
        <v>8.3299999999999999E-2</v>
      </c>
      <c r="I27" s="606">
        <f>G27+I22</f>
        <v>0.28492000000000001</v>
      </c>
      <c r="J27" s="94"/>
      <c r="K27" s="94"/>
      <c r="M27" s="97"/>
    </row>
    <row r="28" spans="2:14" ht="15.5" customHeight="1" x14ac:dyDescent="0.15">
      <c r="B28" s="100" t="s">
        <v>158</v>
      </c>
      <c r="C28" s="233">
        <f t="shared" ref="C28:D38" si="0">8.33%*$G$23</f>
        <v>2.4989999999999998E-2</v>
      </c>
      <c r="D28" s="233">
        <f>8.33%*$G$23</f>
        <v>2.4989999999999998E-2</v>
      </c>
      <c r="E28" s="131">
        <f t="shared" ref="E28:E31" si="1">D28/C28</f>
        <v>1</v>
      </c>
      <c r="F28" s="604"/>
      <c r="G28" s="604"/>
      <c r="H28" s="234">
        <f>+IF(D28="","",((D28*100%)/$G$23)+H27)</f>
        <v>0.1666</v>
      </c>
      <c r="I28" s="607"/>
      <c r="J28" s="94"/>
      <c r="K28" s="94"/>
      <c r="M28" s="97"/>
    </row>
    <row r="29" spans="2:14" ht="15.5" customHeight="1" x14ac:dyDescent="0.15">
      <c r="B29" s="100" t="s">
        <v>159</v>
      </c>
      <c r="C29" s="233">
        <f t="shared" si="0"/>
        <v>2.4989999999999998E-2</v>
      </c>
      <c r="D29" s="233">
        <f>8.33%*$G$23</f>
        <v>2.4989999999999998E-2</v>
      </c>
      <c r="E29" s="131">
        <f t="shared" si="1"/>
        <v>1</v>
      </c>
      <c r="F29" s="604"/>
      <c r="G29" s="604"/>
      <c r="H29" s="234">
        <f t="shared" ref="H29:H38" si="2">+IF(D29="","",((D29*100%)/$G$23)+H28)</f>
        <v>0.24990000000000001</v>
      </c>
      <c r="I29" s="607"/>
      <c r="J29" s="94"/>
      <c r="K29" s="94"/>
      <c r="M29" s="97"/>
    </row>
    <row r="30" spans="2:14" ht="15.5" customHeight="1" x14ac:dyDescent="0.15">
      <c r="B30" s="100" t="s">
        <v>160</v>
      </c>
      <c r="C30" s="233">
        <f t="shared" si="0"/>
        <v>2.4989999999999998E-2</v>
      </c>
      <c r="D30" s="233">
        <f>8.33%*$G$23</f>
        <v>2.4989999999999998E-2</v>
      </c>
      <c r="E30" s="131">
        <f t="shared" si="1"/>
        <v>1</v>
      </c>
      <c r="F30" s="604"/>
      <c r="G30" s="604"/>
      <c r="H30" s="234">
        <f t="shared" si="2"/>
        <v>0.3332</v>
      </c>
      <c r="I30" s="607"/>
      <c r="J30" s="94"/>
      <c r="K30" s="94"/>
      <c r="M30" s="97"/>
    </row>
    <row r="31" spans="2:14" ht="15.5" customHeight="1" x14ac:dyDescent="0.15">
      <c r="B31" s="100" t="s">
        <v>161</v>
      </c>
      <c r="C31" s="233">
        <f t="shared" si="0"/>
        <v>2.4989999999999998E-2</v>
      </c>
      <c r="D31" s="233">
        <f>8.33%*$G$23</f>
        <v>2.4989999999999998E-2</v>
      </c>
      <c r="E31" s="131">
        <f t="shared" si="1"/>
        <v>1</v>
      </c>
      <c r="F31" s="604"/>
      <c r="G31" s="604"/>
      <c r="H31" s="234">
        <f t="shared" si="2"/>
        <v>0.41649999999999998</v>
      </c>
      <c r="I31" s="607"/>
      <c r="J31" s="94"/>
      <c r="K31" s="94"/>
      <c r="M31" s="97"/>
    </row>
    <row r="32" spans="2:14" ht="15.5" customHeight="1" x14ac:dyDescent="0.15">
      <c r="B32" s="100" t="s">
        <v>162</v>
      </c>
      <c r="C32" s="233">
        <f t="shared" si="0"/>
        <v>2.4989999999999998E-2</v>
      </c>
      <c r="D32" s="233">
        <f t="shared" si="0"/>
        <v>2.4989999999999998E-2</v>
      </c>
      <c r="E32" s="131">
        <f>D32/C32</f>
        <v>1</v>
      </c>
      <c r="F32" s="604"/>
      <c r="G32" s="604"/>
      <c r="H32" s="234">
        <f t="shared" si="2"/>
        <v>0.49979999999999997</v>
      </c>
      <c r="I32" s="607"/>
      <c r="J32" s="94"/>
      <c r="K32" s="94"/>
      <c r="M32" s="97"/>
    </row>
    <row r="33" spans="2:11" ht="19.5" customHeight="1" x14ac:dyDescent="0.15">
      <c r="B33" s="100" t="s">
        <v>163</v>
      </c>
      <c r="C33" s="233">
        <f t="shared" si="0"/>
        <v>2.4989999999999998E-2</v>
      </c>
      <c r="D33" s="233">
        <f t="shared" si="0"/>
        <v>2.4989999999999998E-2</v>
      </c>
      <c r="E33" s="131">
        <f t="shared" ref="E33:E38" si="3">D33/C33</f>
        <v>1</v>
      </c>
      <c r="F33" s="604"/>
      <c r="G33" s="604"/>
      <c r="H33" s="234">
        <f t="shared" si="2"/>
        <v>0.58309999999999995</v>
      </c>
      <c r="I33" s="607"/>
      <c r="J33" s="102"/>
      <c r="K33" s="102"/>
    </row>
    <row r="34" spans="2:11" ht="19.5" customHeight="1" x14ac:dyDescent="0.15">
      <c r="B34" s="100" t="s">
        <v>164</v>
      </c>
      <c r="C34" s="233">
        <f t="shared" si="0"/>
        <v>2.4989999999999998E-2</v>
      </c>
      <c r="D34" s="233">
        <f>+C34</f>
        <v>2.4989999999999998E-2</v>
      </c>
      <c r="E34" s="131">
        <f t="shared" si="3"/>
        <v>1</v>
      </c>
      <c r="F34" s="604"/>
      <c r="G34" s="604"/>
      <c r="H34" s="234">
        <f t="shared" si="2"/>
        <v>0.66639999999999999</v>
      </c>
      <c r="I34" s="607"/>
      <c r="J34" s="102"/>
      <c r="K34" s="102"/>
    </row>
    <row r="35" spans="2:11" ht="19.5" customHeight="1" x14ac:dyDescent="0.15">
      <c r="B35" s="100" t="s">
        <v>165</v>
      </c>
      <c r="C35" s="233">
        <f t="shared" si="0"/>
        <v>2.4989999999999998E-2</v>
      </c>
      <c r="D35" s="233"/>
      <c r="E35" s="131">
        <f t="shared" si="3"/>
        <v>0</v>
      </c>
      <c r="F35" s="604"/>
      <c r="G35" s="604"/>
      <c r="H35" s="234" t="str">
        <f t="shared" si="2"/>
        <v/>
      </c>
      <c r="I35" s="607"/>
      <c r="J35" s="102"/>
      <c r="K35" s="102"/>
    </row>
    <row r="36" spans="2:11" ht="19.5" customHeight="1" x14ac:dyDescent="0.15">
      <c r="B36" s="100" t="s">
        <v>166</v>
      </c>
      <c r="C36" s="233">
        <f t="shared" si="0"/>
        <v>2.4989999999999998E-2</v>
      </c>
      <c r="D36" s="233"/>
      <c r="E36" s="131">
        <f t="shared" si="3"/>
        <v>0</v>
      </c>
      <c r="F36" s="604"/>
      <c r="G36" s="604"/>
      <c r="H36" s="234" t="str">
        <f t="shared" si="2"/>
        <v/>
      </c>
      <c r="I36" s="607"/>
      <c r="J36" s="102"/>
      <c r="K36" s="102"/>
    </row>
    <row r="37" spans="2:11" ht="19.5" customHeight="1" x14ac:dyDescent="0.15">
      <c r="B37" s="100" t="s">
        <v>167</v>
      </c>
      <c r="C37" s="233">
        <f t="shared" si="0"/>
        <v>2.4989999999999998E-2</v>
      </c>
      <c r="D37" s="233"/>
      <c r="E37" s="131">
        <f t="shared" si="3"/>
        <v>0</v>
      </c>
      <c r="F37" s="604"/>
      <c r="G37" s="604"/>
      <c r="H37" s="234" t="str">
        <f t="shared" si="2"/>
        <v/>
      </c>
      <c r="I37" s="607"/>
      <c r="J37" s="102"/>
      <c r="K37" s="102"/>
    </row>
    <row r="38" spans="2:11" ht="19.5" customHeight="1" x14ac:dyDescent="0.15">
      <c r="B38" s="100" t="s">
        <v>168</v>
      </c>
      <c r="C38" s="233">
        <f t="shared" si="0"/>
        <v>2.4989999999999998E-2</v>
      </c>
      <c r="D38" s="233"/>
      <c r="E38" s="131">
        <f t="shared" si="3"/>
        <v>0</v>
      </c>
      <c r="F38" s="605"/>
      <c r="G38" s="605"/>
      <c r="H38" s="234" t="str">
        <f t="shared" si="2"/>
        <v/>
      </c>
      <c r="I38" s="608"/>
      <c r="J38" s="102"/>
      <c r="K38" s="102"/>
    </row>
    <row r="39" spans="2:11" ht="89.25" customHeight="1" x14ac:dyDescent="0.15">
      <c r="B39" s="119" t="s">
        <v>280</v>
      </c>
      <c r="C39" s="609" t="s">
        <v>309</v>
      </c>
      <c r="D39" s="610"/>
      <c r="E39" s="610"/>
      <c r="F39" s="610"/>
      <c r="G39" s="610"/>
      <c r="H39" s="610"/>
      <c r="I39" s="611"/>
      <c r="J39" s="103"/>
      <c r="K39" s="103"/>
    </row>
    <row r="40" spans="2:11" ht="34.5" customHeight="1" x14ac:dyDescent="0.15">
      <c r="B40" s="557"/>
      <c r="C40" s="558"/>
      <c r="D40" s="558"/>
      <c r="E40" s="558"/>
      <c r="F40" s="558"/>
      <c r="G40" s="558"/>
      <c r="H40" s="558"/>
      <c r="I40" s="559"/>
      <c r="J40" s="85"/>
      <c r="K40" s="85"/>
    </row>
    <row r="41" spans="2:11" ht="34.5" customHeight="1" x14ac:dyDescent="0.15">
      <c r="B41" s="560"/>
      <c r="C41" s="561"/>
      <c r="D41" s="561"/>
      <c r="E41" s="561"/>
      <c r="F41" s="561"/>
      <c r="G41" s="561"/>
      <c r="H41" s="561"/>
      <c r="I41" s="562"/>
      <c r="J41" s="103"/>
      <c r="K41" s="103"/>
    </row>
    <row r="42" spans="2:11" ht="34.5" customHeight="1" x14ac:dyDescent="0.15">
      <c r="B42" s="560"/>
      <c r="C42" s="561"/>
      <c r="D42" s="561"/>
      <c r="E42" s="561"/>
      <c r="F42" s="561"/>
      <c r="G42" s="561"/>
      <c r="H42" s="561"/>
      <c r="I42" s="562"/>
      <c r="J42" s="103"/>
      <c r="K42" s="103"/>
    </row>
    <row r="43" spans="2:11" ht="34.5" customHeight="1" x14ac:dyDescent="0.15">
      <c r="B43" s="560"/>
      <c r="C43" s="561"/>
      <c r="D43" s="561"/>
      <c r="E43" s="561"/>
      <c r="F43" s="561"/>
      <c r="G43" s="561"/>
      <c r="H43" s="561"/>
      <c r="I43" s="562"/>
      <c r="J43" s="103"/>
      <c r="K43" s="103"/>
    </row>
    <row r="44" spans="2:11" ht="34.5" customHeight="1" x14ac:dyDescent="0.15">
      <c r="B44" s="563"/>
      <c r="C44" s="564"/>
      <c r="D44" s="564"/>
      <c r="E44" s="564"/>
      <c r="F44" s="564"/>
      <c r="G44" s="564"/>
      <c r="H44" s="564"/>
      <c r="I44" s="565"/>
      <c r="J44" s="84"/>
      <c r="K44" s="84"/>
    </row>
    <row r="45" spans="2:11" ht="29.25" customHeight="1" x14ac:dyDescent="0.15">
      <c r="B45" s="615" t="s">
        <v>282</v>
      </c>
      <c r="C45" s="618" t="s">
        <v>309</v>
      </c>
      <c r="D45" s="619"/>
      <c r="E45" s="619"/>
      <c r="F45" s="620"/>
      <c r="G45" s="143"/>
      <c r="H45" s="144" t="s">
        <v>148</v>
      </c>
      <c r="I45" s="145" t="s">
        <v>310</v>
      </c>
      <c r="J45" s="104"/>
      <c r="K45" s="104"/>
    </row>
    <row r="46" spans="2:11" ht="29.25" customHeight="1" x14ac:dyDescent="0.15">
      <c r="B46" s="616"/>
      <c r="C46" s="621"/>
      <c r="D46" s="622"/>
      <c r="E46" s="622"/>
      <c r="F46" s="623"/>
      <c r="G46" s="143" t="s">
        <v>311</v>
      </c>
      <c r="H46" s="282">
        <v>493</v>
      </c>
      <c r="I46" s="282">
        <v>1891</v>
      </c>
      <c r="J46" s="104"/>
      <c r="K46" s="104"/>
    </row>
    <row r="47" spans="2:11" ht="29.25" customHeight="1" x14ac:dyDescent="0.15">
      <c r="B47" s="616"/>
      <c r="C47" s="621"/>
      <c r="D47" s="622"/>
      <c r="E47" s="622"/>
      <c r="F47" s="623"/>
      <c r="G47" s="143" t="s">
        <v>312</v>
      </c>
      <c r="H47" s="282">
        <v>75</v>
      </c>
      <c r="I47" s="282">
        <v>505</v>
      </c>
      <c r="J47" s="104"/>
      <c r="K47" s="104"/>
    </row>
    <row r="48" spans="2:11" ht="29.25" customHeight="1" x14ac:dyDescent="0.15">
      <c r="B48" s="616"/>
      <c r="C48" s="621"/>
      <c r="D48" s="622"/>
      <c r="E48" s="622"/>
      <c r="F48" s="623"/>
      <c r="G48" s="143" t="s">
        <v>313</v>
      </c>
      <c r="H48" s="282">
        <v>18</v>
      </c>
      <c r="I48" s="282">
        <v>122</v>
      </c>
      <c r="J48" s="104"/>
      <c r="K48" s="104"/>
    </row>
    <row r="49" spans="2:11" ht="29.25" customHeight="1" x14ac:dyDescent="0.15">
      <c r="B49" s="616"/>
      <c r="C49" s="621"/>
      <c r="D49" s="622"/>
      <c r="E49" s="622"/>
      <c r="F49" s="623"/>
      <c r="G49" s="143" t="s">
        <v>314</v>
      </c>
      <c r="H49" s="282">
        <v>212</v>
      </c>
      <c r="I49" s="282">
        <v>1494</v>
      </c>
      <c r="J49" s="104"/>
      <c r="K49" s="104"/>
    </row>
    <row r="50" spans="2:11" ht="29.25" customHeight="1" x14ac:dyDescent="0.15">
      <c r="B50" s="616"/>
      <c r="C50" s="621"/>
      <c r="D50" s="622"/>
      <c r="E50" s="622"/>
      <c r="F50" s="623"/>
      <c r="G50" s="143" t="s">
        <v>315</v>
      </c>
      <c r="H50" s="282">
        <v>398</v>
      </c>
      <c r="I50" s="282">
        <v>2584</v>
      </c>
      <c r="J50" s="104"/>
      <c r="K50" s="104"/>
    </row>
    <row r="51" spans="2:11" ht="29.25" customHeight="1" x14ac:dyDescent="0.15">
      <c r="B51" s="616"/>
      <c r="C51" s="621"/>
      <c r="D51" s="622"/>
      <c r="E51" s="622"/>
      <c r="F51" s="623"/>
      <c r="G51" s="143" t="s">
        <v>316</v>
      </c>
      <c r="H51" s="282">
        <v>223</v>
      </c>
      <c r="I51" s="282">
        <v>1844</v>
      </c>
      <c r="J51" s="104"/>
      <c r="K51" s="104"/>
    </row>
    <row r="52" spans="2:11" ht="29.25" customHeight="1" x14ac:dyDescent="0.15">
      <c r="B52" s="617"/>
      <c r="C52" s="624"/>
      <c r="D52" s="625"/>
      <c r="E52" s="625"/>
      <c r="F52" s="626"/>
      <c r="G52" s="143" t="s">
        <v>317</v>
      </c>
      <c r="H52" s="282">
        <v>3781817</v>
      </c>
      <c r="I52" s="282">
        <v>34790492</v>
      </c>
      <c r="J52" s="104"/>
      <c r="K52" s="104"/>
    </row>
    <row r="53" spans="2:11" ht="46.5" customHeight="1" x14ac:dyDescent="0.15">
      <c r="B53" s="118" t="s">
        <v>283</v>
      </c>
      <c r="C53" s="572" t="s">
        <v>46</v>
      </c>
      <c r="D53" s="573"/>
      <c r="E53" s="573"/>
      <c r="F53" s="573"/>
      <c r="G53" s="573"/>
      <c r="H53" s="573"/>
      <c r="I53" s="574"/>
      <c r="J53" s="104"/>
      <c r="K53" s="104"/>
    </row>
    <row r="54" spans="2:11" ht="93.75" customHeight="1" x14ac:dyDescent="0.15">
      <c r="B54" s="120" t="s">
        <v>284</v>
      </c>
      <c r="C54" s="612" t="s">
        <v>318</v>
      </c>
      <c r="D54" s="613"/>
      <c r="E54" s="613"/>
      <c r="F54" s="613"/>
      <c r="G54" s="613"/>
      <c r="H54" s="613"/>
      <c r="I54" s="614"/>
      <c r="J54" s="104"/>
      <c r="K54" s="104"/>
    </row>
    <row r="55" spans="2:11" ht="22.5" customHeight="1" x14ac:dyDescent="0.15">
      <c r="B55" s="511" t="s">
        <v>286</v>
      </c>
      <c r="C55" s="512"/>
      <c r="D55" s="512"/>
      <c r="E55" s="512"/>
      <c r="F55" s="512"/>
      <c r="G55" s="512"/>
      <c r="H55" s="512"/>
      <c r="I55" s="513"/>
      <c r="J55" s="104"/>
      <c r="K55" s="104"/>
    </row>
    <row r="56" spans="2:11" ht="22.5" customHeight="1" x14ac:dyDescent="0.15">
      <c r="B56" s="579" t="s">
        <v>287</v>
      </c>
      <c r="C56" s="141" t="s">
        <v>288</v>
      </c>
      <c r="D56" s="581" t="s">
        <v>289</v>
      </c>
      <c r="E56" s="581"/>
      <c r="F56" s="581"/>
      <c r="G56" s="581" t="s">
        <v>290</v>
      </c>
      <c r="H56" s="581"/>
      <c r="I56" s="582"/>
      <c r="J56" s="105"/>
      <c r="K56" s="105"/>
    </row>
    <row r="57" spans="2:11" ht="30.75" customHeight="1" x14ac:dyDescent="0.15">
      <c r="B57" s="580"/>
      <c r="C57" s="142"/>
      <c r="D57" s="627"/>
      <c r="E57" s="627"/>
      <c r="F57" s="627"/>
      <c r="G57" s="627"/>
      <c r="H57" s="627"/>
      <c r="I57" s="628"/>
      <c r="J57" s="105"/>
      <c r="K57" s="105"/>
    </row>
    <row r="58" spans="2:11" ht="32.25" customHeight="1" x14ac:dyDescent="0.15">
      <c r="B58" s="121" t="s">
        <v>291</v>
      </c>
      <c r="C58" s="627" t="s">
        <v>319</v>
      </c>
      <c r="D58" s="627"/>
      <c r="E58" s="627"/>
      <c r="F58" s="627"/>
      <c r="G58" s="627"/>
      <c r="H58" s="627"/>
      <c r="I58" s="628"/>
      <c r="J58" s="106"/>
      <c r="K58" s="106"/>
    </row>
    <row r="59" spans="2:11" ht="28.5" customHeight="1" x14ac:dyDescent="0.15">
      <c r="B59" s="122" t="s">
        <v>293</v>
      </c>
      <c r="C59" s="627" t="s">
        <v>319</v>
      </c>
      <c r="D59" s="627"/>
      <c r="E59" s="627"/>
      <c r="F59" s="627"/>
      <c r="G59" s="627"/>
      <c r="H59" s="627"/>
      <c r="I59" s="628"/>
      <c r="J59" s="106"/>
      <c r="K59" s="106"/>
    </row>
    <row r="60" spans="2:11" ht="30" customHeight="1" x14ac:dyDescent="0.15">
      <c r="B60" s="120" t="s">
        <v>294</v>
      </c>
      <c r="C60" s="627" t="s">
        <v>295</v>
      </c>
      <c r="D60" s="627"/>
      <c r="E60" s="627"/>
      <c r="F60" s="627"/>
      <c r="G60" s="627"/>
      <c r="H60" s="627"/>
      <c r="I60" s="628"/>
      <c r="J60" s="107"/>
      <c r="K60" s="107"/>
    </row>
    <row r="61" spans="2:11" ht="31.5" customHeight="1" thickBot="1" x14ac:dyDescent="0.2">
      <c r="B61" s="116" t="s">
        <v>296</v>
      </c>
      <c r="C61" s="629" t="s">
        <v>297</v>
      </c>
      <c r="D61" s="630"/>
      <c r="E61" s="630"/>
      <c r="F61" s="630"/>
      <c r="G61" s="630"/>
      <c r="H61" s="630"/>
      <c r="I61" s="631"/>
      <c r="J61" s="108"/>
      <c r="K61" s="108"/>
    </row>
    <row r="62" spans="2:11" x14ac:dyDescent="0.15">
      <c r="B62" s="109"/>
      <c r="C62" s="110"/>
      <c r="D62" s="110"/>
      <c r="E62" s="111"/>
      <c r="F62" s="111"/>
      <c r="G62" s="117"/>
      <c r="H62" s="113"/>
      <c r="I62" s="110"/>
      <c r="J62" s="108"/>
      <c r="K62" s="108"/>
    </row>
    <row r="63" spans="2:11" x14ac:dyDescent="0.15">
      <c r="B63" s="109"/>
      <c r="C63" s="110"/>
      <c r="D63" s="110"/>
      <c r="E63" s="111"/>
      <c r="F63" s="111"/>
      <c r="G63" s="117"/>
      <c r="H63" s="113"/>
      <c r="I63" s="110"/>
      <c r="J63" s="108"/>
      <c r="K63" s="108"/>
    </row>
    <row r="64" spans="2:11" x14ac:dyDescent="0.15">
      <c r="B64" s="109"/>
      <c r="C64" s="110"/>
      <c r="D64" s="110"/>
      <c r="E64" s="111"/>
      <c r="F64" s="111"/>
      <c r="G64" s="117"/>
      <c r="H64" s="113"/>
      <c r="I64" s="110"/>
      <c r="J64" s="108"/>
      <c r="K64" s="108"/>
    </row>
    <row r="65" spans="2:11" x14ac:dyDescent="0.15">
      <c r="B65" s="109"/>
      <c r="C65" s="110"/>
      <c r="D65" s="110"/>
      <c r="E65" s="111"/>
      <c r="F65" s="111"/>
      <c r="G65" s="117"/>
      <c r="H65" s="113"/>
      <c r="I65" s="110"/>
      <c r="J65" s="108"/>
      <c r="K65" s="108"/>
    </row>
    <row r="66" spans="2:11" x14ac:dyDescent="0.15">
      <c r="B66" s="109"/>
      <c r="C66" s="110"/>
      <c r="D66" s="110"/>
      <c r="E66" s="111"/>
      <c r="F66" s="111"/>
      <c r="G66" s="117"/>
      <c r="H66" s="113"/>
      <c r="I66" s="110"/>
      <c r="J66" s="108"/>
      <c r="K66" s="108"/>
    </row>
    <row r="67" spans="2:11" ht="25.5" customHeight="1" x14ac:dyDescent="0.15">
      <c r="B67" s="109"/>
      <c r="C67" s="110"/>
      <c r="D67" s="110"/>
      <c r="E67" s="111"/>
      <c r="F67" s="111"/>
      <c r="G67" s="117"/>
      <c r="H67" s="113"/>
      <c r="I67" s="110"/>
      <c r="J67" s="108"/>
      <c r="K67" s="108"/>
    </row>
  </sheetData>
  <mergeCells count="60">
    <mergeCell ref="C59:I59"/>
    <mergeCell ref="C60:I60"/>
    <mergeCell ref="C61:I61"/>
    <mergeCell ref="C58:I58"/>
    <mergeCell ref="B56:B57"/>
    <mergeCell ref="D56:F56"/>
    <mergeCell ref="G56:I56"/>
    <mergeCell ref="D57:F57"/>
    <mergeCell ref="G57:I57"/>
    <mergeCell ref="B55:I55"/>
    <mergeCell ref="C24:E24"/>
    <mergeCell ref="G24:I24"/>
    <mergeCell ref="B25:I25"/>
    <mergeCell ref="F27:F38"/>
    <mergeCell ref="G27:G38"/>
    <mergeCell ref="I27:I38"/>
    <mergeCell ref="C39:I39"/>
    <mergeCell ref="B40:I44"/>
    <mergeCell ref="C53:I53"/>
    <mergeCell ref="C54:I54"/>
    <mergeCell ref="B45:B52"/>
    <mergeCell ref="C45:F52"/>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A46" zoomScale="85" zoomScaleNormal="85" zoomScaleSheetLayoutView="85" workbookViewId="0">
      <selection activeCell="C55" sqref="C55"/>
    </sheetView>
  </sheetViews>
  <sheetFormatPr baseColWidth="10" defaultColWidth="11.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2" style="115" customWidth="1"/>
    <col min="8" max="8" width="20.5" style="83" customWidth="1"/>
    <col min="9" max="11" width="22.5" style="83" customWidth="1"/>
    <col min="12" max="24" width="11.5" style="81"/>
    <col min="25" max="16384" width="11.5" style="83"/>
  </cols>
  <sheetData>
    <row r="1" spans="2:14" ht="37.5" customHeight="1" x14ac:dyDescent="0.15">
      <c r="B1" s="499"/>
      <c r="C1" s="502" t="s">
        <v>1</v>
      </c>
      <c r="D1" s="502"/>
      <c r="E1" s="502"/>
      <c r="F1" s="502"/>
      <c r="G1" s="502"/>
      <c r="H1" s="502"/>
      <c r="I1" s="503"/>
      <c r="J1" s="80"/>
      <c r="K1" s="80"/>
      <c r="M1" s="82" t="s">
        <v>67</v>
      </c>
    </row>
    <row r="2" spans="2:14" ht="37.5" customHeight="1" x14ac:dyDescent="0.15">
      <c r="B2" s="500"/>
      <c r="C2" s="632" t="s">
        <v>218</v>
      </c>
      <c r="D2" s="632"/>
      <c r="E2" s="632"/>
      <c r="F2" s="632"/>
      <c r="G2" s="632"/>
      <c r="H2" s="632"/>
      <c r="I2" s="504"/>
      <c r="J2" s="80"/>
      <c r="K2" s="80"/>
      <c r="M2" s="82" t="s">
        <v>68</v>
      </c>
    </row>
    <row r="3" spans="2:14" ht="37.5" customHeight="1" x14ac:dyDescent="0.15">
      <c r="B3" s="500"/>
      <c r="C3" s="632" t="s">
        <v>219</v>
      </c>
      <c r="D3" s="632"/>
      <c r="E3" s="632"/>
      <c r="F3" s="632" t="s">
        <v>220</v>
      </c>
      <c r="G3" s="632"/>
      <c r="H3" s="632"/>
      <c r="I3" s="504"/>
      <c r="J3" s="80"/>
      <c r="K3" s="80"/>
      <c r="M3" s="82" t="s">
        <v>70</v>
      </c>
    </row>
    <row r="4" spans="2:14" ht="23.25" customHeight="1" x14ac:dyDescent="0.15">
      <c r="B4" s="508" t="s">
        <v>221</v>
      </c>
      <c r="C4" s="509"/>
      <c r="D4" s="509"/>
      <c r="E4" s="509"/>
      <c r="F4" s="509"/>
      <c r="G4" s="509"/>
      <c r="H4" s="509"/>
      <c r="I4" s="510"/>
      <c r="J4" s="84"/>
      <c r="K4" s="84"/>
    </row>
    <row r="5" spans="2:14" ht="24" customHeight="1" x14ac:dyDescent="0.15">
      <c r="B5" s="511" t="s">
        <v>222</v>
      </c>
      <c r="C5" s="512"/>
      <c r="D5" s="512"/>
      <c r="E5" s="512"/>
      <c r="F5" s="512"/>
      <c r="G5" s="512"/>
      <c r="H5" s="512"/>
      <c r="I5" s="513"/>
      <c r="J5" s="85"/>
      <c r="K5" s="85"/>
      <c r="N5" s="86" t="s">
        <v>77</v>
      </c>
    </row>
    <row r="6" spans="2:14" ht="30.75" customHeight="1" x14ac:dyDescent="0.15">
      <c r="B6" s="118" t="s">
        <v>223</v>
      </c>
      <c r="C6" s="173">
        <v>3</v>
      </c>
      <c r="D6" s="514" t="s">
        <v>224</v>
      </c>
      <c r="E6" s="514"/>
      <c r="F6" s="515" t="s">
        <v>320</v>
      </c>
      <c r="G6" s="515"/>
      <c r="H6" s="515"/>
      <c r="I6" s="516"/>
      <c r="J6" s="87"/>
      <c r="K6" s="87"/>
      <c r="M6" s="82" t="s">
        <v>81</v>
      </c>
      <c r="N6" s="86" t="s">
        <v>82</v>
      </c>
    </row>
    <row r="7" spans="2:14" ht="30.75" customHeight="1" x14ac:dyDescent="0.15">
      <c r="B7" s="118" t="s">
        <v>226</v>
      </c>
      <c r="C7" s="173" t="s">
        <v>84</v>
      </c>
      <c r="D7" s="514" t="s">
        <v>227</v>
      </c>
      <c r="E7" s="514"/>
      <c r="F7" s="515" t="s">
        <v>321</v>
      </c>
      <c r="G7" s="515"/>
      <c r="H7" s="135" t="s">
        <v>229</v>
      </c>
      <c r="I7" s="174" t="s">
        <v>84</v>
      </c>
      <c r="J7" s="88"/>
      <c r="K7" s="88"/>
      <c r="M7" s="82" t="s">
        <v>88</v>
      </c>
      <c r="N7" s="86" t="s">
        <v>89</v>
      </c>
    </row>
    <row r="8" spans="2:14" ht="30.75" customHeight="1" x14ac:dyDescent="0.15">
      <c r="B8" s="118" t="s">
        <v>230</v>
      </c>
      <c r="C8" s="515" t="s">
        <v>231</v>
      </c>
      <c r="D8" s="515"/>
      <c r="E8" s="515"/>
      <c r="F8" s="515"/>
      <c r="G8" s="135" t="s">
        <v>232</v>
      </c>
      <c r="H8" s="520">
        <v>7550</v>
      </c>
      <c r="I8" s="521"/>
      <c r="J8" s="89"/>
      <c r="K8" s="89"/>
      <c r="M8" s="82" t="s">
        <v>93</v>
      </c>
      <c r="N8" s="86" t="s">
        <v>44</v>
      </c>
    </row>
    <row r="9" spans="2:14" ht="30.75" customHeight="1" x14ac:dyDescent="0.15">
      <c r="B9" s="118" t="s">
        <v>68</v>
      </c>
      <c r="C9" s="633" t="s">
        <v>93</v>
      </c>
      <c r="D9" s="633"/>
      <c r="E9" s="633"/>
      <c r="F9" s="633"/>
      <c r="G9" s="135" t="s">
        <v>233</v>
      </c>
      <c r="H9" s="523" t="s">
        <v>322</v>
      </c>
      <c r="I9" s="524"/>
      <c r="J9" s="90"/>
      <c r="K9" s="90"/>
      <c r="M9" s="91" t="s">
        <v>97</v>
      </c>
    </row>
    <row r="10" spans="2:14" ht="60.75" customHeight="1" x14ac:dyDescent="0.15">
      <c r="B10" s="118" t="s">
        <v>235</v>
      </c>
      <c r="C10" s="515" t="s">
        <v>323</v>
      </c>
      <c r="D10" s="515"/>
      <c r="E10" s="515"/>
      <c r="F10" s="515"/>
      <c r="G10" s="515"/>
      <c r="H10" s="515"/>
      <c r="I10" s="516"/>
      <c r="J10" s="92"/>
      <c r="K10" s="92"/>
      <c r="M10" s="91"/>
    </row>
    <row r="11" spans="2:14" ht="30.75" customHeight="1" x14ac:dyDescent="0.15">
      <c r="B11" s="118" t="s">
        <v>237</v>
      </c>
      <c r="C11" s="515" t="s">
        <v>238</v>
      </c>
      <c r="D11" s="515"/>
      <c r="E11" s="515"/>
      <c r="F11" s="515"/>
      <c r="G11" s="515"/>
      <c r="H11" s="515"/>
      <c r="I11" s="516"/>
      <c r="J11" s="88"/>
      <c r="K11" s="88"/>
      <c r="M11" s="91"/>
      <c r="N11" s="86" t="s">
        <v>102</v>
      </c>
    </row>
    <row r="12" spans="2:14" ht="30.75" customHeight="1" x14ac:dyDescent="0.15">
      <c r="B12" s="118" t="s">
        <v>239</v>
      </c>
      <c r="C12" s="518" t="s">
        <v>324</v>
      </c>
      <c r="D12" s="518"/>
      <c r="E12" s="518"/>
      <c r="F12" s="518"/>
      <c r="G12" s="135" t="s">
        <v>241</v>
      </c>
      <c r="H12" s="518" t="s">
        <v>106</v>
      </c>
      <c r="I12" s="519"/>
      <c r="J12" s="88"/>
      <c r="K12" s="88"/>
      <c r="M12" s="91" t="s">
        <v>107</v>
      </c>
      <c r="N12" s="86" t="s">
        <v>84</v>
      </c>
    </row>
    <row r="13" spans="2:14" ht="30.75" customHeight="1" x14ac:dyDescent="0.15">
      <c r="B13" s="118" t="s">
        <v>242</v>
      </c>
      <c r="C13" s="634" t="s">
        <v>325</v>
      </c>
      <c r="D13" s="634"/>
      <c r="E13" s="634"/>
      <c r="F13" s="634"/>
      <c r="G13" s="135" t="s">
        <v>244</v>
      </c>
      <c r="H13" s="515" t="s">
        <v>44</v>
      </c>
      <c r="I13" s="516"/>
      <c r="J13" s="88"/>
      <c r="K13" s="88"/>
      <c r="M13" s="91" t="s">
        <v>111</v>
      </c>
    </row>
    <row r="14" spans="2:14" ht="64.5" customHeight="1" x14ac:dyDescent="0.15">
      <c r="B14" s="118" t="s">
        <v>245</v>
      </c>
      <c r="C14" s="635" t="s">
        <v>326</v>
      </c>
      <c r="D14" s="635"/>
      <c r="E14" s="635"/>
      <c r="F14" s="635"/>
      <c r="G14" s="635"/>
      <c r="H14" s="635"/>
      <c r="I14" s="636"/>
      <c r="J14" s="92"/>
      <c r="K14" s="92"/>
      <c r="M14" s="91" t="s">
        <v>114</v>
      </c>
      <c r="N14" s="86"/>
    </row>
    <row r="15" spans="2:14" ht="30.75" customHeight="1" x14ac:dyDescent="0.15">
      <c r="B15" s="118" t="s">
        <v>247</v>
      </c>
      <c r="C15" s="518" t="s">
        <v>327</v>
      </c>
      <c r="D15" s="518"/>
      <c r="E15" s="518"/>
      <c r="F15" s="518"/>
      <c r="G15" s="518"/>
      <c r="H15" s="518"/>
      <c r="I15" s="519"/>
      <c r="J15" s="93"/>
      <c r="K15" s="93"/>
      <c r="M15" s="91" t="s">
        <v>118</v>
      </c>
      <c r="N15" s="86"/>
    </row>
    <row r="16" spans="2:14" ht="20.25" customHeight="1" x14ac:dyDescent="0.15">
      <c r="B16" s="118" t="s">
        <v>249</v>
      </c>
      <c r="C16" s="515" t="s">
        <v>328</v>
      </c>
      <c r="D16" s="515"/>
      <c r="E16" s="515"/>
      <c r="F16" s="515"/>
      <c r="G16" s="515"/>
      <c r="H16" s="515"/>
      <c r="I16" s="516"/>
      <c r="J16" s="94"/>
      <c r="K16" s="94"/>
      <c r="M16" s="91"/>
      <c r="N16" s="86"/>
    </row>
    <row r="17" spans="2:14" ht="30.75" customHeight="1" x14ac:dyDescent="0.15">
      <c r="B17" s="118" t="s">
        <v>251</v>
      </c>
      <c r="C17" s="515" t="s">
        <v>43</v>
      </c>
      <c r="D17" s="640"/>
      <c r="E17" s="640"/>
      <c r="F17" s="640"/>
      <c r="G17" s="640"/>
      <c r="H17" s="640"/>
      <c r="I17" s="641"/>
      <c r="J17" s="95"/>
      <c r="K17" s="95"/>
      <c r="M17" s="91" t="s">
        <v>106</v>
      </c>
      <c r="N17" s="86"/>
    </row>
    <row r="18" spans="2:14" ht="18" customHeight="1" x14ac:dyDescent="0.15">
      <c r="B18" s="535" t="s">
        <v>253</v>
      </c>
      <c r="C18" s="536" t="s">
        <v>254</v>
      </c>
      <c r="D18" s="536"/>
      <c r="E18" s="536"/>
      <c r="F18" s="537" t="s">
        <v>255</v>
      </c>
      <c r="G18" s="537"/>
      <c r="H18" s="537"/>
      <c r="I18" s="538"/>
      <c r="J18" s="96"/>
      <c r="K18" s="96"/>
      <c r="M18" s="91" t="s">
        <v>128</v>
      </c>
      <c r="N18" s="86"/>
    </row>
    <row r="19" spans="2:14" ht="39.75" customHeight="1" x14ac:dyDescent="0.15">
      <c r="B19" s="535"/>
      <c r="C19" s="515" t="s">
        <v>329</v>
      </c>
      <c r="D19" s="515"/>
      <c r="E19" s="515"/>
      <c r="F19" s="515" t="s">
        <v>330</v>
      </c>
      <c r="G19" s="515"/>
      <c r="H19" s="515"/>
      <c r="I19" s="516"/>
      <c r="J19" s="94"/>
      <c r="K19" s="94"/>
      <c r="M19" s="91" t="s">
        <v>132</v>
      </c>
      <c r="N19" s="86"/>
    </row>
    <row r="20" spans="2:14" ht="39.75" customHeight="1" x14ac:dyDescent="0.15">
      <c r="B20" s="118" t="s">
        <v>258</v>
      </c>
      <c r="C20" s="547" t="s">
        <v>43</v>
      </c>
      <c r="D20" s="528"/>
      <c r="E20" s="529"/>
      <c r="F20" s="518" t="s">
        <v>43</v>
      </c>
      <c r="G20" s="518"/>
      <c r="H20" s="518"/>
      <c r="I20" s="519"/>
      <c r="J20" s="88"/>
      <c r="K20" s="88"/>
      <c r="M20" s="91"/>
      <c r="N20" s="86"/>
    </row>
    <row r="21" spans="2:14" ht="42" customHeight="1" x14ac:dyDescent="0.15">
      <c r="B21" s="118" t="s">
        <v>259</v>
      </c>
      <c r="C21" s="544" t="s">
        <v>331</v>
      </c>
      <c r="D21" s="545"/>
      <c r="E21" s="546"/>
      <c r="F21" s="547" t="s">
        <v>332</v>
      </c>
      <c r="G21" s="528"/>
      <c r="H21" s="528"/>
      <c r="I21" s="548"/>
      <c r="J21" s="93"/>
      <c r="K21" s="93"/>
      <c r="M21" s="97"/>
      <c r="N21" s="86"/>
    </row>
    <row r="22" spans="2:14" ht="23.25" customHeight="1" x14ac:dyDescent="0.15">
      <c r="B22" s="118" t="s">
        <v>262</v>
      </c>
      <c r="C22" s="527">
        <v>44197</v>
      </c>
      <c r="D22" s="549"/>
      <c r="E22" s="550"/>
      <c r="F22" s="135" t="s">
        <v>263</v>
      </c>
      <c r="G22" s="235">
        <v>0.4</v>
      </c>
      <c r="H22" s="135" t="s">
        <v>264</v>
      </c>
      <c r="I22" s="236">
        <v>0.5</v>
      </c>
      <c r="J22" s="98"/>
      <c r="K22" s="98"/>
      <c r="M22" s="97"/>
    </row>
    <row r="23" spans="2:14" ht="27" customHeight="1" x14ac:dyDescent="0.15">
      <c r="B23" s="118" t="s">
        <v>265</v>
      </c>
      <c r="C23" s="527">
        <v>44561</v>
      </c>
      <c r="D23" s="528"/>
      <c r="E23" s="529"/>
      <c r="F23" s="135" t="s">
        <v>266</v>
      </c>
      <c r="G23" s="637">
        <v>0.3</v>
      </c>
      <c r="H23" s="638"/>
      <c r="I23" s="639"/>
      <c r="J23" s="99"/>
      <c r="K23" s="99"/>
      <c r="M23" s="97"/>
    </row>
    <row r="24" spans="2:14" ht="30.75" customHeight="1" x14ac:dyDescent="0.15">
      <c r="B24" s="227" t="s">
        <v>267</v>
      </c>
      <c r="C24" s="648" t="s">
        <v>118</v>
      </c>
      <c r="D24" s="649"/>
      <c r="E24" s="650"/>
      <c r="F24" s="228" t="s">
        <v>269</v>
      </c>
      <c r="G24" s="547"/>
      <c r="H24" s="528"/>
      <c r="I24" s="548"/>
      <c r="J24" s="96"/>
      <c r="K24" s="96"/>
      <c r="M24" s="97"/>
    </row>
    <row r="25" spans="2:14" ht="22.5" customHeight="1" x14ac:dyDescent="0.15">
      <c r="B25" s="651" t="s">
        <v>270</v>
      </c>
      <c r="C25" s="652"/>
      <c r="D25" s="652"/>
      <c r="E25" s="652"/>
      <c r="F25" s="652"/>
      <c r="G25" s="652"/>
      <c r="H25" s="652"/>
      <c r="I25" s="653"/>
      <c r="J25" s="85"/>
      <c r="K25" s="85"/>
      <c r="M25" s="97"/>
    </row>
    <row r="26" spans="2:14" ht="43.5" customHeight="1" x14ac:dyDescent="0.15">
      <c r="B26" s="100" t="s">
        <v>148</v>
      </c>
      <c r="C26" s="138" t="s">
        <v>271</v>
      </c>
      <c r="D26" s="138" t="s">
        <v>272</v>
      </c>
      <c r="E26" s="139" t="s">
        <v>273</v>
      </c>
      <c r="F26" s="138" t="s">
        <v>274</v>
      </c>
      <c r="G26" s="138" t="s">
        <v>275</v>
      </c>
      <c r="H26" s="139" t="s">
        <v>333</v>
      </c>
      <c r="I26" s="140" t="s">
        <v>334</v>
      </c>
      <c r="J26" s="94"/>
      <c r="K26" s="94"/>
      <c r="M26" s="97"/>
    </row>
    <row r="27" spans="2:14" ht="19.5" customHeight="1" x14ac:dyDescent="0.15">
      <c r="B27" s="101" t="s">
        <v>157</v>
      </c>
      <c r="C27" s="172">
        <f>9.01%*$G$23</f>
        <v>2.7029999999999998E-2</v>
      </c>
      <c r="D27" s="172">
        <f>9.01%*$G$23</f>
        <v>2.7029999999999998E-2</v>
      </c>
      <c r="E27" s="131">
        <f>+D27/C27</f>
        <v>1</v>
      </c>
      <c r="F27" s="603">
        <f>SUM(C27:C38)</f>
        <v>0.30254999999999993</v>
      </c>
      <c r="G27" s="603">
        <f>SUM(D27:D38)</f>
        <v>0.18829999999999997</v>
      </c>
      <c r="H27" s="234">
        <f>+(D27*100%)/$G$23</f>
        <v>9.01E-2</v>
      </c>
      <c r="I27" s="606">
        <f>G27+I22</f>
        <v>0.68829999999999991</v>
      </c>
      <c r="J27" s="102"/>
      <c r="K27" s="102"/>
      <c r="M27" s="97"/>
    </row>
    <row r="28" spans="2:14" ht="19.5" customHeight="1" x14ac:dyDescent="0.15">
      <c r="B28" s="101" t="s">
        <v>158</v>
      </c>
      <c r="C28" s="172">
        <f>6.4%*$G$23</f>
        <v>1.9199999999999998E-2</v>
      </c>
      <c r="D28" s="172">
        <f>6.4%*$G$23</f>
        <v>1.9199999999999998E-2</v>
      </c>
      <c r="E28" s="131">
        <f t="shared" ref="E28:E38" si="0">+D28/C28</f>
        <v>1</v>
      </c>
      <c r="F28" s="604"/>
      <c r="G28" s="604"/>
      <c r="H28" s="234">
        <f>+IF(D28="","",((D28*100%)/$G$23)+H27)</f>
        <v>0.15410000000000001</v>
      </c>
      <c r="I28" s="607"/>
      <c r="J28" s="102"/>
      <c r="K28" s="102"/>
      <c r="M28" s="97"/>
    </row>
    <row r="29" spans="2:14" ht="19.5" customHeight="1" x14ac:dyDescent="0.15">
      <c r="B29" s="101" t="s">
        <v>159</v>
      </c>
      <c r="C29" s="172">
        <f>5.66%*$G$23</f>
        <v>1.6980000000000002E-2</v>
      </c>
      <c r="D29" s="172">
        <f>5.66%*$G$23</f>
        <v>1.6980000000000002E-2</v>
      </c>
      <c r="E29" s="131">
        <f t="shared" si="0"/>
        <v>1</v>
      </c>
      <c r="F29" s="604"/>
      <c r="G29" s="604"/>
      <c r="H29" s="234">
        <f t="shared" ref="H29:H38" si="1">+IF(D29="","",((D29*100%)/$G$23)+H28)</f>
        <v>0.21070000000000003</v>
      </c>
      <c r="I29" s="607"/>
      <c r="J29" s="102"/>
      <c r="K29" s="102"/>
      <c r="M29" s="97"/>
    </row>
    <row r="30" spans="2:14" ht="19.5" customHeight="1" x14ac:dyDescent="0.15">
      <c r="B30" s="101" t="s">
        <v>160</v>
      </c>
      <c r="C30" s="172">
        <f>10.61%*G23</f>
        <v>3.1829999999999997E-2</v>
      </c>
      <c r="D30" s="172">
        <v>3.1829999999999997E-2</v>
      </c>
      <c r="E30" s="131">
        <f t="shared" si="0"/>
        <v>1</v>
      </c>
      <c r="F30" s="604"/>
      <c r="G30" s="604"/>
      <c r="H30" s="234">
        <f t="shared" si="1"/>
        <v>0.31680000000000003</v>
      </c>
      <c r="I30" s="607"/>
      <c r="J30" s="102"/>
      <c r="K30" s="102"/>
    </row>
    <row r="31" spans="2:14" ht="19.5" customHeight="1" x14ac:dyDescent="0.15">
      <c r="B31" s="101" t="s">
        <v>161</v>
      </c>
      <c r="C31" s="172">
        <f>5.66%*$G$23</f>
        <v>1.6980000000000002E-2</v>
      </c>
      <c r="D31" s="172">
        <f>5.66%*$G$23</f>
        <v>1.6980000000000002E-2</v>
      </c>
      <c r="E31" s="131">
        <f t="shared" si="0"/>
        <v>1</v>
      </c>
      <c r="F31" s="604"/>
      <c r="G31" s="604"/>
      <c r="H31" s="234">
        <f t="shared" si="1"/>
        <v>0.37340000000000007</v>
      </c>
      <c r="I31" s="607"/>
      <c r="J31" s="102"/>
      <c r="K31" s="102"/>
    </row>
    <row r="32" spans="2:14" ht="19.5" customHeight="1" x14ac:dyDescent="0.15">
      <c r="B32" s="101" t="s">
        <v>162</v>
      </c>
      <c r="C32" s="172">
        <f>5.76%*$G$23</f>
        <v>1.728E-2</v>
      </c>
      <c r="D32" s="172">
        <v>0.02</v>
      </c>
      <c r="E32" s="131">
        <f t="shared" si="0"/>
        <v>1.1574074074074074</v>
      </c>
      <c r="F32" s="604"/>
      <c r="G32" s="604"/>
      <c r="H32" s="234">
        <f t="shared" si="1"/>
        <v>0.44006666666666672</v>
      </c>
      <c r="I32" s="607"/>
      <c r="J32" s="102"/>
      <c r="K32" s="102"/>
    </row>
    <row r="33" spans="2:16" ht="19.5" customHeight="1" x14ac:dyDescent="0.15">
      <c r="B33" s="101" t="s">
        <v>163</v>
      </c>
      <c r="C33" s="172">
        <f>11.09%*G23</f>
        <v>3.3270000000000001E-2</v>
      </c>
      <c r="D33" s="172">
        <v>0.03</v>
      </c>
      <c r="E33" s="131">
        <f t="shared" si="0"/>
        <v>0.90171325518485113</v>
      </c>
      <c r="F33" s="604"/>
      <c r="G33" s="604"/>
      <c r="H33" s="234">
        <f t="shared" si="1"/>
        <v>0.54006666666666669</v>
      </c>
      <c r="I33" s="607"/>
      <c r="J33" s="102"/>
      <c r="K33" s="102"/>
    </row>
    <row r="34" spans="2:16" ht="19.5" customHeight="1" x14ac:dyDescent="0.15">
      <c r="B34" s="101" t="s">
        <v>164</v>
      </c>
      <c r="C34" s="172">
        <f>8.76%*G23</f>
        <v>2.6279999999999998E-2</v>
      </c>
      <c r="D34" s="172">
        <f>+C34</f>
        <v>2.6279999999999998E-2</v>
      </c>
      <c r="E34" s="131">
        <f t="shared" si="0"/>
        <v>1</v>
      </c>
      <c r="F34" s="604"/>
      <c r="G34" s="604"/>
      <c r="H34" s="234">
        <f t="shared" si="1"/>
        <v>0.62766666666666671</v>
      </c>
      <c r="I34" s="607"/>
      <c r="J34" s="102"/>
      <c r="K34" s="102"/>
    </row>
    <row r="35" spans="2:16" ht="19.5" customHeight="1" x14ac:dyDescent="0.15">
      <c r="B35" s="101" t="s">
        <v>165</v>
      </c>
      <c r="C35" s="172">
        <f>7.36%*G23</f>
        <v>2.2079999999999999E-2</v>
      </c>
      <c r="D35" s="172"/>
      <c r="E35" s="131">
        <f t="shared" si="0"/>
        <v>0</v>
      </c>
      <c r="F35" s="604"/>
      <c r="G35" s="604"/>
      <c r="H35" s="234" t="str">
        <f t="shared" si="1"/>
        <v/>
      </c>
      <c r="I35" s="607"/>
      <c r="J35" s="102"/>
      <c r="K35" s="102"/>
    </row>
    <row r="36" spans="2:16" ht="19.5" customHeight="1" x14ac:dyDescent="0.15">
      <c r="B36" s="101" t="s">
        <v>166</v>
      </c>
      <c r="C36" s="172">
        <f>17.29%*G23</f>
        <v>5.1869999999999999E-2</v>
      </c>
      <c r="D36" s="172"/>
      <c r="E36" s="131">
        <f t="shared" si="0"/>
        <v>0</v>
      </c>
      <c r="F36" s="604"/>
      <c r="G36" s="604"/>
      <c r="H36" s="234" t="str">
        <f t="shared" si="1"/>
        <v/>
      </c>
      <c r="I36" s="607"/>
      <c r="J36" s="102"/>
      <c r="K36" s="102"/>
    </row>
    <row r="37" spans="2:16" ht="19.5" customHeight="1" x14ac:dyDescent="0.15">
      <c r="B37" s="101" t="s">
        <v>167</v>
      </c>
      <c r="C37" s="172">
        <f>7.9%*G23</f>
        <v>2.3699999999999999E-2</v>
      </c>
      <c r="D37" s="172"/>
      <c r="E37" s="131">
        <f t="shared" si="0"/>
        <v>0</v>
      </c>
      <c r="F37" s="604"/>
      <c r="G37" s="604"/>
      <c r="H37" s="234" t="str">
        <f t="shared" si="1"/>
        <v/>
      </c>
      <c r="I37" s="607"/>
      <c r="J37" s="102"/>
      <c r="K37" s="102"/>
    </row>
    <row r="38" spans="2:16" ht="19.5" customHeight="1" x14ac:dyDescent="0.15">
      <c r="B38" s="101" t="s">
        <v>168</v>
      </c>
      <c r="C38" s="172">
        <f>5.35%*G23</f>
        <v>1.6049999999999998E-2</v>
      </c>
      <c r="D38" s="172"/>
      <c r="E38" s="131">
        <f t="shared" si="0"/>
        <v>0</v>
      </c>
      <c r="F38" s="605"/>
      <c r="G38" s="605"/>
      <c r="H38" s="234" t="str">
        <f t="shared" si="1"/>
        <v/>
      </c>
      <c r="I38" s="608"/>
      <c r="J38" s="102"/>
      <c r="K38" s="102"/>
    </row>
    <row r="39" spans="2:16" ht="231" customHeight="1" x14ac:dyDescent="0.15">
      <c r="B39" s="119" t="s">
        <v>280</v>
      </c>
      <c r="C39" s="654" t="s">
        <v>458</v>
      </c>
      <c r="D39" s="655"/>
      <c r="E39" s="655"/>
      <c r="F39" s="655"/>
      <c r="G39" s="655"/>
      <c r="H39" s="655"/>
      <c r="I39" s="656"/>
      <c r="J39" s="103"/>
      <c r="K39" s="103"/>
    </row>
    <row r="40" spans="2:16" ht="34.5" customHeight="1" x14ac:dyDescent="0.15">
      <c r="B40" s="557"/>
      <c r="C40" s="558"/>
      <c r="D40" s="558"/>
      <c r="E40" s="558"/>
      <c r="F40" s="558"/>
      <c r="G40" s="558"/>
      <c r="H40" s="558"/>
      <c r="I40" s="559"/>
      <c r="J40" s="85"/>
      <c r="K40" s="85"/>
    </row>
    <row r="41" spans="2:16" ht="34.5" customHeight="1" x14ac:dyDescent="0.15">
      <c r="B41" s="560"/>
      <c r="C41" s="561"/>
      <c r="D41" s="561"/>
      <c r="E41" s="561"/>
      <c r="F41" s="561"/>
      <c r="G41" s="561"/>
      <c r="H41" s="561"/>
      <c r="I41" s="562"/>
      <c r="J41" s="103"/>
      <c r="K41" s="103"/>
    </row>
    <row r="42" spans="2:16" ht="34.5" customHeight="1" x14ac:dyDescent="0.15">
      <c r="B42" s="560"/>
      <c r="C42" s="561"/>
      <c r="D42" s="561"/>
      <c r="E42" s="561"/>
      <c r="F42" s="561"/>
      <c r="G42" s="561"/>
      <c r="H42" s="561"/>
      <c r="I42" s="562"/>
      <c r="J42" s="103"/>
      <c r="K42" s="103"/>
    </row>
    <row r="43" spans="2:16" ht="34.5" customHeight="1" x14ac:dyDescent="0.15">
      <c r="B43" s="560"/>
      <c r="C43" s="561"/>
      <c r="D43" s="561"/>
      <c r="E43" s="561"/>
      <c r="F43" s="561"/>
      <c r="G43" s="561"/>
      <c r="H43" s="561"/>
      <c r="I43" s="562"/>
      <c r="J43" s="103"/>
      <c r="K43" s="103"/>
    </row>
    <row r="44" spans="2:16" ht="34.5" customHeight="1" x14ac:dyDescent="0.15">
      <c r="B44" s="563"/>
      <c r="C44" s="564"/>
      <c r="D44" s="564"/>
      <c r="E44" s="564"/>
      <c r="F44" s="564"/>
      <c r="G44" s="564"/>
      <c r="H44" s="564"/>
      <c r="I44" s="565"/>
      <c r="J44" s="84"/>
      <c r="K44" s="84"/>
    </row>
    <row r="45" spans="2:16" ht="223.25" customHeight="1" x14ac:dyDescent="0.15">
      <c r="B45" s="118" t="s">
        <v>282</v>
      </c>
      <c r="C45" s="657" t="s">
        <v>458</v>
      </c>
      <c r="D45" s="658"/>
      <c r="E45" s="658"/>
      <c r="F45" s="658"/>
      <c r="G45" s="658"/>
      <c r="H45" s="658"/>
      <c r="I45" s="659"/>
      <c r="J45" s="283"/>
      <c r="K45" s="285"/>
      <c r="L45" s="285"/>
      <c r="M45" s="285"/>
      <c r="N45" s="285"/>
      <c r="O45" s="285"/>
      <c r="P45" s="285"/>
    </row>
    <row r="46" spans="2:16" ht="32.25" customHeight="1" x14ac:dyDescent="0.15">
      <c r="B46" s="118" t="s">
        <v>283</v>
      </c>
      <c r="C46" s="660" t="s">
        <v>335</v>
      </c>
      <c r="D46" s="661"/>
      <c r="E46" s="661"/>
      <c r="F46" s="661"/>
      <c r="G46" s="661"/>
      <c r="H46" s="661"/>
      <c r="I46" s="662"/>
      <c r="J46" s="284"/>
      <c r="K46" s="286"/>
      <c r="L46" s="286"/>
      <c r="M46" s="286"/>
      <c r="N46" s="286"/>
      <c r="O46" s="286"/>
      <c r="P46" s="286"/>
    </row>
    <row r="47" spans="2:16" ht="96.5" customHeight="1" x14ac:dyDescent="0.15">
      <c r="B47" s="120" t="s">
        <v>284</v>
      </c>
      <c r="C47" s="663" t="s">
        <v>336</v>
      </c>
      <c r="D47" s="664"/>
      <c r="E47" s="664"/>
      <c r="F47" s="664"/>
      <c r="G47" s="664"/>
      <c r="H47" s="664"/>
      <c r="I47" s="665"/>
      <c r="J47" s="287"/>
      <c r="K47" s="288"/>
      <c r="L47" s="288"/>
      <c r="M47" s="288"/>
      <c r="N47" s="288"/>
      <c r="O47" s="288"/>
      <c r="P47" s="288"/>
    </row>
    <row r="48" spans="2:16" ht="22.5" customHeight="1" x14ac:dyDescent="0.15">
      <c r="B48" s="651" t="s">
        <v>286</v>
      </c>
      <c r="C48" s="652"/>
      <c r="D48" s="652"/>
      <c r="E48" s="652"/>
      <c r="F48" s="652"/>
      <c r="G48" s="652"/>
      <c r="H48" s="652"/>
      <c r="I48" s="653"/>
      <c r="J48" s="287"/>
      <c r="K48" s="288"/>
      <c r="L48" s="288"/>
      <c r="M48" s="288"/>
      <c r="N48" s="288"/>
      <c r="O48" s="288"/>
      <c r="P48" s="288"/>
    </row>
    <row r="49" spans="2:16" ht="55.25" customHeight="1" x14ac:dyDescent="0.15">
      <c r="B49" s="579" t="s">
        <v>287</v>
      </c>
      <c r="C49" s="141" t="s">
        <v>337</v>
      </c>
      <c r="D49" s="581" t="s">
        <v>289</v>
      </c>
      <c r="E49" s="581"/>
      <c r="F49" s="581"/>
      <c r="G49" s="581" t="s">
        <v>290</v>
      </c>
      <c r="H49" s="581"/>
      <c r="I49" s="582"/>
      <c r="J49" s="289"/>
      <c r="K49" s="290"/>
      <c r="L49" s="290"/>
      <c r="M49" s="290"/>
      <c r="N49" s="290"/>
      <c r="O49" s="290"/>
      <c r="P49" s="290"/>
    </row>
    <row r="50" spans="2:16" ht="30.75" customHeight="1" x14ac:dyDescent="0.15">
      <c r="B50" s="580"/>
      <c r="C50" s="237"/>
      <c r="D50" s="627"/>
      <c r="E50" s="627"/>
      <c r="F50" s="627"/>
      <c r="G50" s="627"/>
      <c r="H50" s="627"/>
      <c r="I50" s="628"/>
      <c r="J50" s="105"/>
      <c r="K50" s="105"/>
    </row>
    <row r="51" spans="2:16" ht="32.25" customHeight="1" x14ac:dyDescent="0.15">
      <c r="B51" s="121" t="s">
        <v>291</v>
      </c>
      <c r="C51" s="642" t="s">
        <v>338</v>
      </c>
      <c r="D51" s="642"/>
      <c r="E51" s="642"/>
      <c r="F51" s="642"/>
      <c r="G51" s="642"/>
      <c r="H51" s="642"/>
      <c r="I51" s="643"/>
      <c r="J51" s="106"/>
      <c r="K51" s="106"/>
    </row>
    <row r="52" spans="2:16" ht="28.5" customHeight="1" x14ac:dyDescent="0.15">
      <c r="B52" s="122" t="s">
        <v>293</v>
      </c>
      <c r="C52" s="642" t="s">
        <v>338</v>
      </c>
      <c r="D52" s="642"/>
      <c r="E52" s="642"/>
      <c r="F52" s="642"/>
      <c r="G52" s="642"/>
      <c r="H52" s="642"/>
      <c r="I52" s="643"/>
      <c r="J52" s="106"/>
      <c r="K52" s="106"/>
    </row>
    <row r="53" spans="2:16" ht="30" customHeight="1" x14ac:dyDescent="0.15">
      <c r="B53" s="120" t="s">
        <v>294</v>
      </c>
      <c r="C53" s="644" t="s">
        <v>481</v>
      </c>
      <c r="D53" s="645"/>
      <c r="E53" s="645"/>
      <c r="F53" s="645"/>
      <c r="G53" s="645"/>
      <c r="H53" s="645"/>
      <c r="I53" s="646"/>
      <c r="J53" s="107" t="s">
        <v>452</v>
      </c>
      <c r="K53" s="107"/>
    </row>
    <row r="54" spans="2:16" ht="31.5" customHeight="1" thickBot="1" x14ac:dyDescent="0.2">
      <c r="B54" s="116" t="s">
        <v>296</v>
      </c>
      <c r="C54" s="644" t="s">
        <v>481</v>
      </c>
      <c r="D54" s="645"/>
      <c r="E54" s="645"/>
      <c r="F54" s="645"/>
      <c r="G54" s="645"/>
      <c r="H54" s="645"/>
      <c r="I54" s="647"/>
      <c r="J54" s="108"/>
      <c r="K54" s="108"/>
    </row>
    <row r="55" spans="2:16" ht="12.75" customHeight="1" x14ac:dyDescent="0.15">
      <c r="B55" s="109"/>
      <c r="C55" s="110"/>
      <c r="D55" s="110"/>
      <c r="E55" s="111"/>
      <c r="F55" s="111"/>
      <c r="G55" s="112"/>
      <c r="H55" s="113"/>
      <c r="I55" s="110"/>
      <c r="J55" s="108" t="s">
        <v>453</v>
      </c>
      <c r="K55" s="108"/>
    </row>
    <row r="56" spans="2:16" x14ac:dyDescent="0.15">
      <c r="B56" s="109"/>
      <c r="C56" s="110"/>
      <c r="D56" s="110"/>
      <c r="E56" s="111"/>
      <c r="F56" s="111"/>
      <c r="G56" s="112"/>
      <c r="H56" s="113"/>
      <c r="I56" s="110"/>
      <c r="J56" s="108"/>
      <c r="K56" s="108"/>
    </row>
    <row r="57" spans="2:16" x14ac:dyDescent="0.15">
      <c r="B57" s="109"/>
      <c r="C57" s="110"/>
      <c r="D57" s="110"/>
      <c r="E57" s="111"/>
      <c r="F57" s="111"/>
      <c r="G57" s="112"/>
      <c r="H57" s="113"/>
      <c r="I57" s="110"/>
      <c r="J57" s="108"/>
      <c r="K57" s="108"/>
    </row>
    <row r="58" spans="2:16" x14ac:dyDescent="0.15">
      <c r="B58" s="109"/>
      <c r="C58" s="110"/>
      <c r="D58" s="110"/>
      <c r="E58" s="111"/>
      <c r="F58" s="111"/>
      <c r="G58" s="112"/>
      <c r="H58" s="113"/>
      <c r="I58" s="110"/>
      <c r="J58" s="108"/>
      <c r="K58" s="108"/>
    </row>
    <row r="59" spans="2:16" x14ac:dyDescent="0.15">
      <c r="B59" s="109"/>
      <c r="C59" s="110"/>
      <c r="D59" s="110"/>
      <c r="E59" s="111"/>
      <c r="F59" s="111"/>
      <c r="G59" s="112"/>
      <c r="H59" s="113"/>
      <c r="I59" s="110"/>
      <c r="J59" s="108"/>
      <c r="K59" s="108"/>
    </row>
    <row r="60" spans="2:16" ht="25.5" customHeight="1" x14ac:dyDescent="0.15">
      <c r="B60" s="109"/>
      <c r="C60" s="110"/>
      <c r="D60" s="110"/>
      <c r="E60" s="111"/>
      <c r="F60" s="111"/>
      <c r="G60" s="112"/>
      <c r="H60" s="113"/>
      <c r="I60" s="110"/>
      <c r="J60" s="108"/>
      <c r="K60" s="108"/>
    </row>
  </sheetData>
  <mergeCells count="59">
    <mergeCell ref="B40:I44"/>
    <mergeCell ref="C39:I39"/>
    <mergeCell ref="C45:I45"/>
    <mergeCell ref="C46:I46"/>
    <mergeCell ref="C47:I47"/>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9"/>
  <sheetViews>
    <sheetView tabSelected="1" view="pageBreakPreview" topLeftCell="A47" zoomScaleNormal="100" zoomScaleSheetLayoutView="100" workbookViewId="0">
      <selection activeCell="C39" sqref="C39:I39"/>
    </sheetView>
  </sheetViews>
  <sheetFormatPr baseColWidth="10" defaultColWidth="11.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6.33203125" style="9" customWidth="1"/>
    <col min="8" max="8" width="20.5" style="7" customWidth="1"/>
    <col min="9" max="11" width="22.5" style="7" customWidth="1"/>
    <col min="12" max="24" width="11.5" style="3"/>
    <col min="25" max="16384" width="11.5" style="7"/>
  </cols>
  <sheetData>
    <row r="1" spans="2:14" ht="37.5" customHeight="1" x14ac:dyDescent="0.15">
      <c r="B1" s="499"/>
      <c r="C1" s="502" t="s">
        <v>1</v>
      </c>
      <c r="D1" s="502"/>
      <c r="E1" s="502"/>
      <c r="F1" s="502"/>
      <c r="G1" s="502"/>
      <c r="H1" s="502"/>
      <c r="I1" s="503"/>
      <c r="J1" s="10"/>
      <c r="K1" s="10"/>
      <c r="M1" s="11" t="s">
        <v>67</v>
      </c>
    </row>
    <row r="2" spans="2:14" ht="37.5" customHeight="1" x14ac:dyDescent="0.15">
      <c r="B2" s="500"/>
      <c r="C2" s="632" t="s">
        <v>218</v>
      </c>
      <c r="D2" s="632"/>
      <c r="E2" s="632"/>
      <c r="F2" s="632"/>
      <c r="G2" s="632"/>
      <c r="H2" s="632"/>
      <c r="I2" s="504"/>
      <c r="J2" s="10"/>
      <c r="K2" s="10"/>
      <c r="M2" s="11" t="s">
        <v>68</v>
      </c>
    </row>
    <row r="3" spans="2:14" ht="37.5" customHeight="1" x14ac:dyDescent="0.15">
      <c r="B3" s="500"/>
      <c r="C3" s="632" t="s">
        <v>219</v>
      </c>
      <c r="D3" s="632"/>
      <c r="E3" s="632"/>
      <c r="F3" s="632" t="s">
        <v>220</v>
      </c>
      <c r="G3" s="632"/>
      <c r="H3" s="632"/>
      <c r="I3" s="504"/>
      <c r="J3" s="10"/>
      <c r="K3" s="10"/>
      <c r="M3" s="11" t="s">
        <v>70</v>
      </c>
    </row>
    <row r="4" spans="2:14" ht="23.25" customHeight="1" x14ac:dyDescent="0.15">
      <c r="B4" s="508" t="s">
        <v>221</v>
      </c>
      <c r="C4" s="509"/>
      <c r="D4" s="509"/>
      <c r="E4" s="509"/>
      <c r="F4" s="509"/>
      <c r="G4" s="509"/>
      <c r="H4" s="509"/>
      <c r="I4" s="510"/>
      <c r="J4" s="12"/>
      <c r="K4" s="12"/>
    </row>
    <row r="5" spans="2:14" ht="24" customHeight="1" x14ac:dyDescent="0.15">
      <c r="B5" s="511" t="s">
        <v>222</v>
      </c>
      <c r="C5" s="512"/>
      <c r="D5" s="512"/>
      <c r="E5" s="512"/>
      <c r="F5" s="512"/>
      <c r="G5" s="512"/>
      <c r="H5" s="512"/>
      <c r="I5" s="513"/>
      <c r="J5" s="40"/>
      <c r="K5" s="40"/>
      <c r="N5" s="6" t="s">
        <v>77</v>
      </c>
    </row>
    <row r="6" spans="2:14" ht="30.75" customHeight="1" x14ac:dyDescent="0.15">
      <c r="B6" s="118" t="s">
        <v>223</v>
      </c>
      <c r="C6" s="238">
        <v>4</v>
      </c>
      <c r="D6" s="514" t="s">
        <v>224</v>
      </c>
      <c r="E6" s="514"/>
      <c r="F6" s="666" t="s">
        <v>339</v>
      </c>
      <c r="G6" s="666"/>
      <c r="H6" s="666"/>
      <c r="I6" s="667"/>
      <c r="J6" s="14"/>
      <c r="K6" s="14"/>
      <c r="M6" s="11" t="s">
        <v>81</v>
      </c>
      <c r="N6" s="6" t="s">
        <v>82</v>
      </c>
    </row>
    <row r="7" spans="2:14" ht="30.75" customHeight="1" x14ac:dyDescent="0.15">
      <c r="B7" s="118" t="s">
        <v>226</v>
      </c>
      <c r="C7" s="238" t="s">
        <v>84</v>
      </c>
      <c r="D7" s="514" t="s">
        <v>227</v>
      </c>
      <c r="E7" s="514"/>
      <c r="F7" s="668" t="s">
        <v>321</v>
      </c>
      <c r="G7" s="668"/>
      <c r="H7" s="135" t="s">
        <v>229</v>
      </c>
      <c r="I7" s="239" t="s">
        <v>84</v>
      </c>
      <c r="J7" s="15"/>
      <c r="K7" s="15"/>
      <c r="M7" s="11" t="s">
        <v>88</v>
      </c>
      <c r="N7" s="6" t="s">
        <v>89</v>
      </c>
    </row>
    <row r="8" spans="2:14" ht="30.75" customHeight="1" x14ac:dyDescent="0.15">
      <c r="B8" s="118" t="s">
        <v>230</v>
      </c>
      <c r="C8" s="666" t="s">
        <v>231</v>
      </c>
      <c r="D8" s="666"/>
      <c r="E8" s="666"/>
      <c r="F8" s="666"/>
      <c r="G8" s="135" t="s">
        <v>232</v>
      </c>
      <c r="H8" s="671">
        <v>7550</v>
      </c>
      <c r="I8" s="672"/>
      <c r="J8" s="16"/>
      <c r="K8" s="16"/>
      <c r="M8" s="11" t="s">
        <v>93</v>
      </c>
      <c r="N8" s="6" t="s">
        <v>44</v>
      </c>
    </row>
    <row r="9" spans="2:14" ht="30.75" customHeight="1" x14ac:dyDescent="0.15">
      <c r="B9" s="118" t="s">
        <v>68</v>
      </c>
      <c r="C9" s="673" t="s">
        <v>93</v>
      </c>
      <c r="D9" s="673"/>
      <c r="E9" s="673"/>
      <c r="F9" s="673"/>
      <c r="G9" s="135" t="s">
        <v>233</v>
      </c>
      <c r="H9" s="674" t="s">
        <v>322</v>
      </c>
      <c r="I9" s="675"/>
      <c r="J9" s="17"/>
      <c r="K9" s="17"/>
      <c r="M9" s="18" t="s">
        <v>97</v>
      </c>
    </row>
    <row r="10" spans="2:14" ht="30.75" customHeight="1" x14ac:dyDescent="0.15">
      <c r="B10" s="118" t="s">
        <v>235</v>
      </c>
      <c r="C10" s="666" t="s">
        <v>340</v>
      </c>
      <c r="D10" s="666"/>
      <c r="E10" s="666"/>
      <c r="F10" s="666"/>
      <c r="G10" s="666"/>
      <c r="H10" s="666"/>
      <c r="I10" s="667"/>
      <c r="J10" s="19"/>
      <c r="K10" s="19"/>
      <c r="M10" s="18"/>
    </row>
    <row r="11" spans="2:14" ht="30.75" customHeight="1" x14ac:dyDescent="0.15">
      <c r="B11" s="118" t="s">
        <v>237</v>
      </c>
      <c r="C11" s="668" t="s">
        <v>238</v>
      </c>
      <c r="D11" s="668"/>
      <c r="E11" s="668"/>
      <c r="F11" s="668"/>
      <c r="G11" s="668"/>
      <c r="H11" s="668"/>
      <c r="I11" s="676"/>
      <c r="J11" s="15"/>
      <c r="K11" s="15"/>
      <c r="M11" s="18"/>
      <c r="N11" s="6" t="s">
        <v>102</v>
      </c>
    </row>
    <row r="12" spans="2:14" ht="30.75" customHeight="1" x14ac:dyDescent="0.15">
      <c r="B12" s="118" t="s">
        <v>239</v>
      </c>
      <c r="C12" s="677" t="s">
        <v>341</v>
      </c>
      <c r="D12" s="677"/>
      <c r="E12" s="677"/>
      <c r="F12" s="677"/>
      <c r="G12" s="135" t="s">
        <v>241</v>
      </c>
      <c r="H12" s="678" t="s">
        <v>106</v>
      </c>
      <c r="I12" s="679"/>
      <c r="J12" s="15"/>
      <c r="K12" s="15"/>
      <c r="M12" s="18" t="s">
        <v>107</v>
      </c>
      <c r="N12" s="6" t="s">
        <v>84</v>
      </c>
    </row>
    <row r="13" spans="2:14" ht="30.75" customHeight="1" x14ac:dyDescent="0.15">
      <c r="B13" s="118" t="s">
        <v>242</v>
      </c>
      <c r="C13" s="680" t="s">
        <v>325</v>
      </c>
      <c r="D13" s="680"/>
      <c r="E13" s="680"/>
      <c r="F13" s="680"/>
      <c r="G13" s="135" t="s">
        <v>244</v>
      </c>
      <c r="H13" s="668" t="s">
        <v>44</v>
      </c>
      <c r="I13" s="676"/>
      <c r="J13" s="15"/>
      <c r="K13" s="15"/>
      <c r="M13" s="18" t="s">
        <v>111</v>
      </c>
    </row>
    <row r="14" spans="2:14" ht="64.5" customHeight="1" x14ac:dyDescent="0.15">
      <c r="B14" s="118" t="s">
        <v>245</v>
      </c>
      <c r="C14" s="681" t="s">
        <v>342</v>
      </c>
      <c r="D14" s="681"/>
      <c r="E14" s="681"/>
      <c r="F14" s="681"/>
      <c r="G14" s="681"/>
      <c r="H14" s="681"/>
      <c r="I14" s="682"/>
      <c r="J14" s="19"/>
      <c r="K14" s="19"/>
      <c r="M14" s="18" t="s">
        <v>114</v>
      </c>
      <c r="N14" s="6"/>
    </row>
    <row r="15" spans="2:14" ht="30.75" customHeight="1" x14ac:dyDescent="0.15">
      <c r="B15" s="118" t="s">
        <v>247</v>
      </c>
      <c r="C15" s="669" t="s">
        <v>248</v>
      </c>
      <c r="D15" s="669"/>
      <c r="E15" s="669"/>
      <c r="F15" s="669"/>
      <c r="G15" s="669"/>
      <c r="H15" s="669"/>
      <c r="I15" s="670"/>
      <c r="J15" s="20"/>
      <c r="K15" s="20"/>
      <c r="M15" s="18" t="s">
        <v>118</v>
      </c>
      <c r="N15" s="6"/>
    </row>
    <row r="16" spans="2:14" ht="20.25" customHeight="1" x14ac:dyDescent="0.15">
      <c r="B16" s="118" t="s">
        <v>249</v>
      </c>
      <c r="C16" s="666" t="s">
        <v>343</v>
      </c>
      <c r="D16" s="666"/>
      <c r="E16" s="666"/>
      <c r="F16" s="666"/>
      <c r="G16" s="666"/>
      <c r="H16" s="666"/>
      <c r="I16" s="667"/>
      <c r="J16" s="21"/>
      <c r="K16" s="21"/>
      <c r="M16" s="18"/>
      <c r="N16" s="6"/>
    </row>
    <row r="17" spans="2:14" ht="30.75" customHeight="1" x14ac:dyDescent="0.15">
      <c r="B17" s="118" t="s">
        <v>251</v>
      </c>
      <c r="C17" s="668" t="s">
        <v>43</v>
      </c>
      <c r="D17" s="689"/>
      <c r="E17" s="689"/>
      <c r="F17" s="689"/>
      <c r="G17" s="689"/>
      <c r="H17" s="689"/>
      <c r="I17" s="690"/>
      <c r="J17" s="22"/>
      <c r="K17" s="22"/>
      <c r="M17" s="18" t="s">
        <v>106</v>
      </c>
      <c r="N17" s="6"/>
    </row>
    <row r="18" spans="2:14" ht="18" customHeight="1" x14ac:dyDescent="0.15">
      <c r="B18" s="535" t="s">
        <v>253</v>
      </c>
      <c r="C18" s="536" t="s">
        <v>254</v>
      </c>
      <c r="D18" s="536"/>
      <c r="E18" s="536"/>
      <c r="F18" s="537" t="s">
        <v>255</v>
      </c>
      <c r="G18" s="537"/>
      <c r="H18" s="537"/>
      <c r="I18" s="538"/>
      <c r="J18" s="23"/>
      <c r="K18" s="23"/>
      <c r="M18" s="18" t="s">
        <v>128</v>
      </c>
      <c r="N18" s="6"/>
    </row>
    <row r="19" spans="2:14" ht="39.75" customHeight="1" x14ac:dyDescent="0.15">
      <c r="B19" s="535"/>
      <c r="C19" s="666" t="s">
        <v>344</v>
      </c>
      <c r="D19" s="666"/>
      <c r="E19" s="666"/>
      <c r="F19" s="666" t="s">
        <v>345</v>
      </c>
      <c r="G19" s="666"/>
      <c r="H19" s="666"/>
      <c r="I19" s="667"/>
      <c r="J19" s="21"/>
      <c r="K19" s="21"/>
      <c r="M19" s="18" t="s">
        <v>132</v>
      </c>
      <c r="N19" s="6"/>
    </row>
    <row r="20" spans="2:14" ht="39.75" customHeight="1" x14ac:dyDescent="0.15">
      <c r="B20" s="118" t="s">
        <v>258</v>
      </c>
      <c r="C20" s="691" t="s">
        <v>43</v>
      </c>
      <c r="D20" s="692"/>
      <c r="E20" s="693"/>
      <c r="F20" s="678" t="s">
        <v>43</v>
      </c>
      <c r="G20" s="678"/>
      <c r="H20" s="678"/>
      <c r="I20" s="679"/>
      <c r="J20" s="15"/>
      <c r="K20" s="15"/>
      <c r="M20" s="18"/>
      <c r="N20" s="6"/>
    </row>
    <row r="21" spans="2:14" ht="42" customHeight="1" x14ac:dyDescent="0.15">
      <c r="B21" s="118" t="s">
        <v>259</v>
      </c>
      <c r="C21" s="694" t="s">
        <v>346</v>
      </c>
      <c r="D21" s="695"/>
      <c r="E21" s="696"/>
      <c r="F21" s="697" t="s">
        <v>347</v>
      </c>
      <c r="G21" s="684"/>
      <c r="H21" s="684"/>
      <c r="I21" s="698"/>
      <c r="J21" s="20"/>
      <c r="K21" s="20"/>
      <c r="M21" s="24"/>
      <c r="N21" s="6"/>
    </row>
    <row r="22" spans="2:14" ht="23.25" customHeight="1" x14ac:dyDescent="0.15">
      <c r="B22" s="118" t="s">
        <v>262</v>
      </c>
      <c r="C22" s="683">
        <v>44197</v>
      </c>
      <c r="D22" s="699"/>
      <c r="E22" s="700"/>
      <c r="F22" s="135" t="s">
        <v>263</v>
      </c>
      <c r="G22" s="240">
        <v>10</v>
      </c>
      <c r="H22" s="135" t="s">
        <v>264</v>
      </c>
      <c r="I22" s="241">
        <v>10</v>
      </c>
      <c r="J22" s="25"/>
      <c r="K22" s="25"/>
      <c r="M22" s="24"/>
    </row>
    <row r="23" spans="2:14" ht="27" customHeight="1" x14ac:dyDescent="0.15">
      <c r="B23" s="118" t="s">
        <v>265</v>
      </c>
      <c r="C23" s="683">
        <v>44561</v>
      </c>
      <c r="D23" s="684"/>
      <c r="E23" s="685"/>
      <c r="F23" s="135" t="s">
        <v>266</v>
      </c>
      <c r="G23" s="686">
        <v>0.3</v>
      </c>
      <c r="H23" s="687"/>
      <c r="I23" s="688"/>
      <c r="J23" s="26"/>
      <c r="K23" s="26"/>
      <c r="M23" s="24"/>
    </row>
    <row r="24" spans="2:14" ht="30.75" customHeight="1" x14ac:dyDescent="0.15">
      <c r="B24" s="227" t="s">
        <v>267</v>
      </c>
      <c r="C24" s="701" t="s">
        <v>118</v>
      </c>
      <c r="D24" s="702"/>
      <c r="E24" s="703"/>
      <c r="F24" s="228" t="s">
        <v>269</v>
      </c>
      <c r="G24" s="697"/>
      <c r="H24" s="684"/>
      <c r="I24" s="698"/>
      <c r="J24" s="23"/>
      <c r="K24" s="23"/>
      <c r="M24" s="24"/>
    </row>
    <row r="25" spans="2:14" ht="22.5" customHeight="1" x14ac:dyDescent="0.15">
      <c r="B25" s="651" t="s">
        <v>270</v>
      </c>
      <c r="C25" s="652"/>
      <c r="D25" s="652"/>
      <c r="E25" s="652"/>
      <c r="F25" s="652"/>
      <c r="G25" s="652"/>
      <c r="H25" s="652"/>
      <c r="I25" s="653"/>
      <c r="J25" s="40"/>
      <c r="K25" s="40"/>
      <c r="M25" s="24"/>
    </row>
    <row r="26" spans="2:14" ht="43.5" customHeight="1" x14ac:dyDescent="0.15">
      <c r="B26" s="100" t="s">
        <v>148</v>
      </c>
      <c r="C26" s="138" t="s">
        <v>271</v>
      </c>
      <c r="D26" s="138" t="s">
        <v>272</v>
      </c>
      <c r="E26" s="139" t="s">
        <v>273</v>
      </c>
      <c r="F26" s="138" t="s">
        <v>274</v>
      </c>
      <c r="G26" s="138" t="s">
        <v>275</v>
      </c>
      <c r="H26" s="139" t="s">
        <v>333</v>
      </c>
      <c r="I26" s="140" t="s">
        <v>277</v>
      </c>
      <c r="M26" s="24"/>
    </row>
    <row r="27" spans="2:14" ht="19.5" customHeight="1" x14ac:dyDescent="0.15">
      <c r="B27" s="101" t="s">
        <v>157</v>
      </c>
      <c r="C27" s="171">
        <v>0.09</v>
      </c>
      <c r="D27" s="171">
        <v>0.09</v>
      </c>
      <c r="E27" s="131">
        <f>D27/C27</f>
        <v>1</v>
      </c>
      <c r="F27" s="704">
        <f>SUM(C27:C38)</f>
        <v>0.30001000000000005</v>
      </c>
      <c r="G27" s="704">
        <f>SUM(D27:D38)</f>
        <v>0.22287999999999999</v>
      </c>
      <c r="H27" s="243">
        <f>+(D27*100%)/$G$23</f>
        <v>0.3</v>
      </c>
      <c r="I27" s="707">
        <f>G27+I22</f>
        <v>10.22288</v>
      </c>
      <c r="M27" s="24"/>
    </row>
    <row r="28" spans="2:14" ht="19.5" customHeight="1" x14ac:dyDescent="0.15">
      <c r="B28" s="101" t="s">
        <v>158</v>
      </c>
      <c r="C28" s="171">
        <v>0.01</v>
      </c>
      <c r="D28" s="171">
        <v>0.01</v>
      </c>
      <c r="E28" s="131">
        <f t="shared" ref="E28:E31" si="0">D28/C28</f>
        <v>1</v>
      </c>
      <c r="F28" s="705"/>
      <c r="G28" s="705"/>
      <c r="H28" s="243">
        <f>+IF(D28="","",((D28*100%)/$G$23)+H27)</f>
        <v>0.33333333333333331</v>
      </c>
      <c r="I28" s="708"/>
      <c r="M28" s="24"/>
    </row>
    <row r="29" spans="2:14" ht="19.5" customHeight="1" x14ac:dyDescent="0.15">
      <c r="B29" s="101" t="s">
        <v>159</v>
      </c>
      <c r="C29" s="171">
        <v>0.01</v>
      </c>
      <c r="D29" s="171">
        <v>0.01</v>
      </c>
      <c r="E29" s="131">
        <f t="shared" si="0"/>
        <v>1</v>
      </c>
      <c r="F29" s="705"/>
      <c r="G29" s="705"/>
      <c r="H29" s="243">
        <f t="shared" ref="H29:H38" si="1">+IF(D29="","",((D29*100%)/$G$23)+H28)</f>
        <v>0.36666666666666664</v>
      </c>
      <c r="I29" s="708"/>
      <c r="M29" s="24"/>
    </row>
    <row r="30" spans="2:14" ht="19.5" customHeight="1" x14ac:dyDescent="0.15">
      <c r="B30" s="101" t="s">
        <v>160</v>
      </c>
      <c r="C30" s="171">
        <v>0.01</v>
      </c>
      <c r="D30" s="171">
        <v>0.01</v>
      </c>
      <c r="E30" s="131">
        <f t="shared" si="0"/>
        <v>1</v>
      </c>
      <c r="F30" s="705"/>
      <c r="G30" s="705"/>
      <c r="H30" s="243">
        <f t="shared" si="1"/>
        <v>0.39999999999999997</v>
      </c>
      <c r="I30" s="708"/>
    </row>
    <row r="31" spans="2:14" ht="19.5" customHeight="1" x14ac:dyDescent="0.15">
      <c r="B31" s="101" t="s">
        <v>161</v>
      </c>
      <c r="C31" s="171">
        <v>0.06</v>
      </c>
      <c r="D31" s="171">
        <v>0.06</v>
      </c>
      <c r="E31" s="131">
        <f t="shared" si="0"/>
        <v>1</v>
      </c>
      <c r="F31" s="705"/>
      <c r="G31" s="705"/>
      <c r="H31" s="243">
        <f t="shared" si="1"/>
        <v>0.6</v>
      </c>
      <c r="I31" s="708"/>
    </row>
    <row r="32" spans="2:14" ht="19.5" customHeight="1" x14ac:dyDescent="0.15">
      <c r="B32" s="101" t="s">
        <v>162</v>
      </c>
      <c r="C32" s="171">
        <v>1.43E-2</v>
      </c>
      <c r="D32" s="171">
        <v>1.43E-2</v>
      </c>
      <c r="E32" s="131">
        <f>D32/C32</f>
        <v>1</v>
      </c>
      <c r="F32" s="705"/>
      <c r="G32" s="705"/>
      <c r="H32" s="243">
        <f t="shared" si="1"/>
        <v>0.64766666666666661</v>
      </c>
      <c r="I32" s="708"/>
    </row>
    <row r="33" spans="2:11" ht="19.5" customHeight="1" x14ac:dyDescent="0.15">
      <c r="B33" s="101" t="s">
        <v>163</v>
      </c>
      <c r="C33" s="171">
        <v>1.43E-2</v>
      </c>
      <c r="D33" s="171">
        <v>1.43E-2</v>
      </c>
      <c r="E33" s="131">
        <f t="shared" ref="E33:E38" si="2">D33/C33</f>
        <v>1</v>
      </c>
      <c r="F33" s="705"/>
      <c r="G33" s="705"/>
      <c r="H33" s="243">
        <f t="shared" si="1"/>
        <v>0.69533333333333325</v>
      </c>
      <c r="I33" s="708"/>
    </row>
    <row r="34" spans="2:11" ht="19.5" customHeight="1" x14ac:dyDescent="0.15">
      <c r="B34" s="101" t="s">
        <v>164</v>
      </c>
      <c r="C34" s="242">
        <f>4.76%*G23</f>
        <v>1.4279999999999998E-2</v>
      </c>
      <c r="D34" s="242">
        <f>+C34</f>
        <v>1.4279999999999998E-2</v>
      </c>
      <c r="E34" s="131">
        <f t="shared" si="2"/>
        <v>1</v>
      </c>
      <c r="F34" s="705"/>
      <c r="G34" s="705"/>
      <c r="H34" s="243">
        <f t="shared" si="1"/>
        <v>0.74293333333333322</v>
      </c>
      <c r="I34" s="708"/>
    </row>
    <row r="35" spans="2:11" ht="19.5" customHeight="1" x14ac:dyDescent="0.15">
      <c r="B35" s="101" t="s">
        <v>165</v>
      </c>
      <c r="C35" s="242">
        <f>11.43%*G23</f>
        <v>3.4290000000000001E-2</v>
      </c>
      <c r="D35" s="242"/>
      <c r="E35" s="131">
        <f t="shared" si="2"/>
        <v>0</v>
      </c>
      <c r="F35" s="705"/>
      <c r="G35" s="705"/>
      <c r="H35" s="243" t="str">
        <f t="shared" si="1"/>
        <v/>
      </c>
      <c r="I35" s="708"/>
    </row>
    <row r="36" spans="2:11" ht="19.5" customHeight="1" x14ac:dyDescent="0.15">
      <c r="B36" s="101" t="s">
        <v>166</v>
      </c>
      <c r="C36" s="242">
        <f>4.76%*G23</f>
        <v>1.4279999999999998E-2</v>
      </c>
      <c r="D36" s="242"/>
      <c r="E36" s="131">
        <f t="shared" si="2"/>
        <v>0</v>
      </c>
      <c r="F36" s="705"/>
      <c r="G36" s="705"/>
      <c r="H36" s="243" t="str">
        <f t="shared" si="1"/>
        <v/>
      </c>
      <c r="I36" s="708"/>
    </row>
    <row r="37" spans="2:11" ht="19.5" customHeight="1" x14ac:dyDescent="0.15">
      <c r="B37" s="101" t="s">
        <v>167</v>
      </c>
      <c r="C37" s="242">
        <f>4.76%*G23</f>
        <v>1.4279999999999998E-2</v>
      </c>
      <c r="D37" s="242"/>
      <c r="E37" s="131">
        <f t="shared" si="2"/>
        <v>0</v>
      </c>
      <c r="F37" s="705"/>
      <c r="G37" s="705"/>
      <c r="H37" s="243" t="str">
        <f t="shared" si="1"/>
        <v/>
      </c>
      <c r="I37" s="708"/>
    </row>
    <row r="38" spans="2:11" ht="19.5" customHeight="1" x14ac:dyDescent="0.15">
      <c r="B38" s="101" t="s">
        <v>168</v>
      </c>
      <c r="C38" s="242">
        <f>4.76%*G23</f>
        <v>1.4279999999999998E-2</v>
      </c>
      <c r="D38" s="242"/>
      <c r="E38" s="131">
        <f t="shared" si="2"/>
        <v>0</v>
      </c>
      <c r="F38" s="706"/>
      <c r="G38" s="706"/>
      <c r="H38" s="243" t="str">
        <f t="shared" si="1"/>
        <v/>
      </c>
      <c r="I38" s="709"/>
    </row>
    <row r="39" spans="2:11" ht="127" customHeight="1" x14ac:dyDescent="0.15">
      <c r="B39" s="119" t="s">
        <v>280</v>
      </c>
      <c r="C39" s="898" t="s">
        <v>485</v>
      </c>
      <c r="D39" s="899"/>
      <c r="E39" s="899"/>
      <c r="F39" s="899"/>
      <c r="G39" s="899"/>
      <c r="H39" s="899"/>
      <c r="I39" s="900"/>
    </row>
    <row r="40" spans="2:11" ht="34.5" customHeight="1" x14ac:dyDescent="0.15">
      <c r="B40" s="557"/>
      <c r="C40" s="558"/>
      <c r="D40" s="558"/>
      <c r="E40" s="558"/>
      <c r="F40" s="558"/>
      <c r="G40" s="558"/>
      <c r="H40" s="558"/>
      <c r="I40" s="559"/>
      <c r="J40" s="40"/>
      <c r="K40" s="40"/>
    </row>
    <row r="41" spans="2:11" ht="34.5" customHeight="1" x14ac:dyDescent="0.15">
      <c r="B41" s="560"/>
      <c r="C41" s="561"/>
      <c r="D41" s="561"/>
      <c r="E41" s="561"/>
      <c r="F41" s="561"/>
      <c r="G41" s="561"/>
      <c r="H41" s="561"/>
      <c r="I41" s="562"/>
      <c r="J41" s="28"/>
      <c r="K41" s="28"/>
    </row>
    <row r="42" spans="2:11" ht="34.5" customHeight="1" x14ac:dyDescent="0.15">
      <c r="B42" s="560"/>
      <c r="C42" s="561"/>
      <c r="D42" s="561"/>
      <c r="E42" s="561"/>
      <c r="F42" s="561"/>
      <c r="G42" s="561"/>
      <c r="H42" s="561"/>
      <c r="I42" s="562"/>
      <c r="J42" s="28"/>
      <c r="K42" s="28"/>
    </row>
    <row r="43" spans="2:11" ht="34.5" customHeight="1" x14ac:dyDescent="0.15">
      <c r="B43" s="560"/>
      <c r="C43" s="561"/>
      <c r="D43" s="561"/>
      <c r="E43" s="561"/>
      <c r="F43" s="561"/>
      <c r="G43" s="561"/>
      <c r="H43" s="561"/>
      <c r="I43" s="562"/>
      <c r="J43" s="28"/>
      <c r="K43" s="28"/>
    </row>
    <row r="44" spans="2:11" ht="34.5" customHeight="1" x14ac:dyDescent="0.15">
      <c r="B44" s="563"/>
      <c r="C44" s="564"/>
      <c r="D44" s="564"/>
      <c r="E44" s="564"/>
      <c r="F44" s="564"/>
      <c r="G44" s="564"/>
      <c r="H44" s="564"/>
      <c r="I44" s="565"/>
      <c r="J44" s="12"/>
      <c r="K44" s="12"/>
    </row>
    <row r="45" spans="2:11" ht="24.5" customHeight="1" x14ac:dyDescent="0.15">
      <c r="B45" s="719" t="s">
        <v>282</v>
      </c>
      <c r="C45" s="722" t="s">
        <v>454</v>
      </c>
      <c r="D45" s="722"/>
      <c r="E45" s="722"/>
      <c r="F45" s="723"/>
      <c r="G45" s="143"/>
      <c r="H45" s="144" t="s">
        <v>148</v>
      </c>
      <c r="I45" s="145" t="s">
        <v>310</v>
      </c>
      <c r="J45" s="12"/>
      <c r="K45" s="12"/>
    </row>
    <row r="46" spans="2:11" ht="41" customHeight="1" x14ac:dyDescent="0.15">
      <c r="B46" s="720"/>
      <c r="C46" s="724"/>
      <c r="D46" s="724"/>
      <c r="E46" s="724"/>
      <c r="F46" s="725"/>
      <c r="G46" s="152" t="s">
        <v>348</v>
      </c>
      <c r="H46" s="291">
        <v>2</v>
      </c>
      <c r="I46" s="291">
        <v>27</v>
      </c>
      <c r="J46" s="29"/>
      <c r="K46" s="29"/>
    </row>
    <row r="47" spans="2:11" ht="41" customHeight="1" x14ac:dyDescent="0.15">
      <c r="B47" s="721"/>
      <c r="C47" s="726"/>
      <c r="D47" s="726"/>
      <c r="E47" s="726"/>
      <c r="F47" s="727"/>
      <c r="G47" s="152" t="s">
        <v>349</v>
      </c>
      <c r="H47" s="291">
        <v>4</v>
      </c>
      <c r="I47" s="291">
        <v>115</v>
      </c>
      <c r="J47" s="29"/>
      <c r="K47" s="29"/>
    </row>
    <row r="48" spans="2:11" ht="32.25" customHeight="1" x14ac:dyDescent="0.15">
      <c r="B48" s="118" t="s">
        <v>283</v>
      </c>
      <c r="C48" s="713" t="s">
        <v>350</v>
      </c>
      <c r="D48" s="714"/>
      <c r="E48" s="714"/>
      <c r="F48" s="714"/>
      <c r="G48" s="714"/>
      <c r="H48" s="714"/>
      <c r="I48" s="715"/>
      <c r="J48" s="29"/>
      <c r="K48" s="29"/>
    </row>
    <row r="49" spans="2:11" ht="69" customHeight="1" x14ac:dyDescent="0.15">
      <c r="B49" s="120" t="s">
        <v>284</v>
      </c>
      <c r="C49" s="716" t="s">
        <v>351</v>
      </c>
      <c r="D49" s="717"/>
      <c r="E49" s="717"/>
      <c r="F49" s="717"/>
      <c r="G49" s="717"/>
      <c r="H49" s="717"/>
      <c r="I49" s="718"/>
      <c r="J49" s="29"/>
      <c r="K49" s="29"/>
    </row>
    <row r="50" spans="2:11" ht="22.5" customHeight="1" x14ac:dyDescent="0.15">
      <c r="B50" s="651" t="s">
        <v>286</v>
      </c>
      <c r="C50" s="652"/>
      <c r="D50" s="652"/>
      <c r="E50" s="652"/>
      <c r="F50" s="652"/>
      <c r="G50" s="652"/>
      <c r="H50" s="652"/>
      <c r="I50" s="653"/>
      <c r="J50" s="29"/>
      <c r="K50" s="29"/>
    </row>
    <row r="51" spans="2:11" ht="22.5" customHeight="1" x14ac:dyDescent="0.15">
      <c r="B51" s="579" t="s">
        <v>287</v>
      </c>
      <c r="C51" s="141" t="s">
        <v>288</v>
      </c>
      <c r="D51" s="581" t="s">
        <v>289</v>
      </c>
      <c r="E51" s="581"/>
      <c r="F51" s="581"/>
      <c r="G51" s="581" t="s">
        <v>290</v>
      </c>
      <c r="H51" s="581"/>
      <c r="I51" s="582"/>
      <c r="J51" s="30"/>
      <c r="K51" s="30"/>
    </row>
    <row r="52" spans="2:11" ht="30.75" customHeight="1" x14ac:dyDescent="0.15">
      <c r="B52" s="580"/>
      <c r="C52" s="237"/>
      <c r="D52" s="627"/>
      <c r="E52" s="627"/>
      <c r="F52" s="627"/>
      <c r="G52" s="627"/>
      <c r="H52" s="627"/>
      <c r="I52" s="628"/>
      <c r="J52" s="30"/>
      <c r="K52" s="30"/>
    </row>
    <row r="53" spans="2:11" ht="32.25" customHeight="1" x14ac:dyDescent="0.15">
      <c r="B53" s="121" t="s">
        <v>291</v>
      </c>
      <c r="C53" s="627" t="s">
        <v>352</v>
      </c>
      <c r="D53" s="627"/>
      <c r="E53" s="627"/>
      <c r="F53" s="627"/>
      <c r="G53" s="627"/>
      <c r="H53" s="627"/>
      <c r="I53" s="628"/>
      <c r="J53" s="32"/>
      <c r="K53" s="32"/>
    </row>
    <row r="54" spans="2:11" ht="28.5" customHeight="1" x14ac:dyDescent="0.15">
      <c r="B54" s="122" t="s">
        <v>293</v>
      </c>
      <c r="C54" s="627" t="s">
        <v>352</v>
      </c>
      <c r="D54" s="627"/>
      <c r="E54" s="627"/>
      <c r="F54" s="627"/>
      <c r="G54" s="627"/>
      <c r="H54" s="627"/>
      <c r="I54" s="628"/>
      <c r="J54" s="32"/>
      <c r="K54" s="32"/>
    </row>
    <row r="55" spans="2:11" ht="30" customHeight="1" x14ac:dyDescent="0.15">
      <c r="B55" s="120" t="s">
        <v>294</v>
      </c>
      <c r="C55" s="710" t="s">
        <v>467</v>
      </c>
      <c r="D55" s="711"/>
      <c r="E55" s="711"/>
      <c r="F55" s="711"/>
      <c r="G55" s="711"/>
      <c r="H55" s="711"/>
      <c r="I55" s="712"/>
      <c r="J55" s="33"/>
      <c r="K55" s="33"/>
    </row>
    <row r="56" spans="2:11" ht="31.5" customHeight="1" thickBot="1" x14ac:dyDescent="0.2">
      <c r="B56" s="116" t="s">
        <v>296</v>
      </c>
      <c r="C56" s="710" t="s">
        <v>467</v>
      </c>
      <c r="D56" s="711"/>
      <c r="E56" s="711"/>
      <c r="F56" s="711"/>
      <c r="G56" s="711"/>
      <c r="H56" s="711"/>
      <c r="I56" s="712"/>
      <c r="J56" s="34"/>
      <c r="K56" s="34"/>
    </row>
    <row r="57" spans="2:11" ht="12.75" customHeight="1" x14ac:dyDescent="0.15">
      <c r="B57" s="123"/>
      <c r="C57" s="124"/>
      <c r="D57" s="124"/>
      <c r="E57" s="125"/>
      <c r="F57" s="125"/>
      <c r="G57" s="126"/>
      <c r="H57" s="127"/>
      <c r="I57" s="124"/>
      <c r="J57" s="34"/>
      <c r="K57" s="34"/>
    </row>
    <row r="58" spans="2:11" ht="13.25" customHeight="1" x14ac:dyDescent="0.15">
      <c r="B58" s="123"/>
      <c r="C58" s="124"/>
      <c r="D58" s="124"/>
      <c r="E58" s="125"/>
      <c r="F58" s="125"/>
      <c r="G58" s="126"/>
      <c r="H58" s="127"/>
      <c r="I58" s="124"/>
      <c r="J58" s="34"/>
      <c r="K58" s="34"/>
    </row>
    <row r="59" spans="2:11" ht="13.25" customHeight="1" x14ac:dyDescent="0.15">
      <c r="B59" s="123"/>
      <c r="C59" s="124"/>
      <c r="D59" s="124"/>
      <c r="E59" s="125"/>
      <c r="F59" s="125"/>
      <c r="G59" s="126"/>
      <c r="H59" s="127"/>
      <c r="I59" s="124"/>
      <c r="J59" s="34"/>
      <c r="K59" s="34"/>
    </row>
    <row r="60" spans="2:11" ht="13.25" customHeight="1" x14ac:dyDescent="0.15">
      <c r="B60" s="123"/>
      <c r="C60" s="124"/>
      <c r="D60" s="124"/>
      <c r="E60" s="125"/>
      <c r="F60" s="125"/>
      <c r="G60" s="126"/>
      <c r="H60" s="127"/>
      <c r="I60" s="124"/>
      <c r="J60" s="34"/>
      <c r="K60" s="34"/>
    </row>
    <row r="61" spans="2:11" ht="13.25" customHeight="1" x14ac:dyDescent="0.15">
      <c r="B61" s="123"/>
      <c r="C61" s="124"/>
      <c r="D61" s="124"/>
      <c r="E61" s="125"/>
      <c r="F61" s="125"/>
      <c r="G61" s="126"/>
      <c r="H61" s="127"/>
      <c r="I61" s="124"/>
      <c r="J61" s="34"/>
      <c r="K61" s="34"/>
    </row>
    <row r="62" spans="2:11" ht="25.5" customHeight="1" x14ac:dyDescent="0.15">
      <c r="B62" s="123"/>
      <c r="C62" s="124"/>
      <c r="D62" s="124"/>
      <c r="E62" s="125"/>
      <c r="F62" s="125"/>
      <c r="G62" s="126"/>
      <c r="H62" s="127"/>
      <c r="I62" s="124"/>
      <c r="J62" s="34"/>
      <c r="K62" s="34"/>
    </row>
    <row r="63" spans="2:11" ht="13.25" customHeight="1" x14ac:dyDescent="0.15"/>
    <row r="64" spans="2:11" ht="13.25" customHeight="1" x14ac:dyDescent="0.15"/>
    <row r="65" ht="13.25" customHeight="1" x14ac:dyDescent="0.15"/>
    <row r="66" ht="13.25" customHeight="1" x14ac:dyDescent="0.15"/>
    <row r="67" ht="13.25" customHeight="1" x14ac:dyDescent="0.15"/>
    <row r="68" ht="13.25" customHeight="1" x14ac:dyDescent="0.15"/>
    <row r="69" ht="13.25" customHeight="1" x14ac:dyDescent="0.15"/>
    <row r="70" ht="13.25" customHeight="1" x14ac:dyDescent="0.15"/>
    <row r="71" ht="13.25" customHeight="1" x14ac:dyDescent="0.15"/>
    <row r="72" ht="13.25" customHeight="1" x14ac:dyDescent="0.15"/>
    <row r="73" ht="13.25" customHeight="1" x14ac:dyDescent="0.15"/>
    <row r="74" ht="13.25" customHeight="1" x14ac:dyDescent="0.15"/>
    <row r="75" ht="13.25" customHeight="1" x14ac:dyDescent="0.15"/>
    <row r="76" ht="13.25" customHeight="1" x14ac:dyDescent="0.15"/>
    <row r="77" ht="13.25" customHeight="1" x14ac:dyDescent="0.15"/>
    <row r="78" ht="13.25" customHeight="1" x14ac:dyDescent="0.15"/>
    <row r="79" ht="13.25" customHeight="1" x14ac:dyDescent="0.15"/>
  </sheetData>
  <mergeCells count="60">
    <mergeCell ref="C48:I48"/>
    <mergeCell ref="C49:I49"/>
    <mergeCell ref="B45:B47"/>
    <mergeCell ref="C45:F47"/>
    <mergeCell ref="C54:I54"/>
    <mergeCell ref="C55:I55"/>
    <mergeCell ref="C56:I56"/>
    <mergeCell ref="C53:I53"/>
    <mergeCell ref="B50:I50"/>
    <mergeCell ref="B51:B52"/>
    <mergeCell ref="D51:F51"/>
    <mergeCell ref="G51:I51"/>
    <mergeCell ref="D52:F52"/>
    <mergeCell ref="G52:I52"/>
    <mergeCell ref="B40:I44"/>
    <mergeCell ref="C39:I39"/>
    <mergeCell ref="C24:E24"/>
    <mergeCell ref="G24:I24"/>
    <mergeCell ref="B25:I25"/>
    <mergeCell ref="F27:F38"/>
    <mergeCell ref="G27:G38"/>
    <mergeCell ref="I27:I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6"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2"/>
  <sheetViews>
    <sheetView view="pageBreakPreview" topLeftCell="A54" zoomScale="85" zoomScaleNormal="85" zoomScaleSheetLayoutView="85" zoomScalePageLayoutView="85" workbookViewId="0">
      <selection activeCell="C63" sqref="C63:I63"/>
    </sheetView>
  </sheetViews>
  <sheetFormatPr baseColWidth="10" defaultColWidth="10.664062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2" style="114" customWidth="1"/>
    <col min="8" max="9" width="12.5" style="83" customWidth="1"/>
    <col min="10" max="11" width="22.5" style="83" customWidth="1"/>
    <col min="12" max="24" width="10.6640625" style="81"/>
    <col min="25" max="16384" width="10.6640625" style="83"/>
  </cols>
  <sheetData>
    <row r="1" spans="2:14" ht="37.5" customHeight="1" x14ac:dyDescent="0.15">
      <c r="B1" s="499"/>
      <c r="C1" s="502" t="s">
        <v>1</v>
      </c>
      <c r="D1" s="502"/>
      <c r="E1" s="502"/>
      <c r="F1" s="502"/>
      <c r="G1" s="502"/>
      <c r="H1" s="502"/>
      <c r="I1" s="503"/>
      <c r="J1" s="80"/>
      <c r="K1" s="80"/>
      <c r="M1" s="82" t="s">
        <v>67</v>
      </c>
    </row>
    <row r="2" spans="2:14" ht="37.5" customHeight="1" x14ac:dyDescent="0.15">
      <c r="B2" s="500"/>
      <c r="C2" s="506" t="s">
        <v>218</v>
      </c>
      <c r="D2" s="506"/>
      <c r="E2" s="506"/>
      <c r="F2" s="506"/>
      <c r="G2" s="506"/>
      <c r="H2" s="506"/>
      <c r="I2" s="504"/>
      <c r="J2" s="80"/>
      <c r="K2" s="80"/>
      <c r="M2" s="82" t="s">
        <v>68</v>
      </c>
    </row>
    <row r="3" spans="2:14" ht="37.5" customHeight="1" thickBot="1" x14ac:dyDescent="0.2">
      <c r="B3" s="501"/>
      <c r="C3" s="507" t="s">
        <v>219</v>
      </c>
      <c r="D3" s="507"/>
      <c r="E3" s="507"/>
      <c r="F3" s="507" t="s">
        <v>220</v>
      </c>
      <c r="G3" s="507"/>
      <c r="H3" s="507"/>
      <c r="I3" s="505"/>
      <c r="J3" s="80"/>
      <c r="K3" s="80"/>
      <c r="M3" s="82" t="s">
        <v>70</v>
      </c>
    </row>
    <row r="4" spans="2:14" ht="23.25" customHeight="1" x14ac:dyDescent="0.15">
      <c r="B4" s="508" t="s">
        <v>221</v>
      </c>
      <c r="C4" s="509"/>
      <c r="D4" s="509"/>
      <c r="E4" s="509"/>
      <c r="F4" s="509"/>
      <c r="G4" s="509"/>
      <c r="H4" s="509"/>
      <c r="I4" s="510"/>
      <c r="J4" s="84"/>
      <c r="K4" s="84"/>
    </row>
    <row r="5" spans="2:14" ht="24" customHeight="1" x14ac:dyDescent="0.15">
      <c r="B5" s="511" t="s">
        <v>222</v>
      </c>
      <c r="C5" s="512"/>
      <c r="D5" s="512"/>
      <c r="E5" s="512"/>
      <c r="F5" s="512"/>
      <c r="G5" s="512"/>
      <c r="H5" s="512"/>
      <c r="I5" s="513"/>
      <c r="J5" s="85"/>
      <c r="K5" s="85"/>
      <c r="N5" s="86" t="s">
        <v>77</v>
      </c>
    </row>
    <row r="6" spans="2:14" ht="30.75" customHeight="1" x14ac:dyDescent="0.15">
      <c r="B6" s="118" t="s">
        <v>223</v>
      </c>
      <c r="C6" s="134">
        <v>5</v>
      </c>
      <c r="D6" s="514" t="s">
        <v>224</v>
      </c>
      <c r="E6" s="514"/>
      <c r="F6" s="515" t="s">
        <v>353</v>
      </c>
      <c r="G6" s="515"/>
      <c r="H6" s="515"/>
      <c r="I6" s="516"/>
      <c r="J6" s="87"/>
      <c r="K6" s="87"/>
      <c r="M6" s="82" t="s">
        <v>81</v>
      </c>
      <c r="N6" s="86" t="s">
        <v>82</v>
      </c>
    </row>
    <row r="7" spans="2:14" ht="30.75" customHeight="1" x14ac:dyDescent="0.15">
      <c r="B7" s="118" t="s">
        <v>226</v>
      </c>
      <c r="C7" s="134" t="s">
        <v>84</v>
      </c>
      <c r="D7" s="514" t="s">
        <v>227</v>
      </c>
      <c r="E7" s="514"/>
      <c r="F7" s="515" t="s">
        <v>354</v>
      </c>
      <c r="G7" s="515"/>
      <c r="H7" s="135" t="s">
        <v>229</v>
      </c>
      <c r="I7" s="136" t="s">
        <v>84</v>
      </c>
      <c r="J7" s="88"/>
      <c r="K7" s="88"/>
      <c r="M7" s="82" t="s">
        <v>88</v>
      </c>
      <c r="N7" s="86" t="s">
        <v>89</v>
      </c>
    </row>
    <row r="8" spans="2:14" ht="30.75" customHeight="1" x14ac:dyDescent="0.15">
      <c r="B8" s="118" t="s">
        <v>230</v>
      </c>
      <c r="C8" s="515" t="s">
        <v>231</v>
      </c>
      <c r="D8" s="515"/>
      <c r="E8" s="515"/>
      <c r="F8" s="515"/>
      <c r="G8" s="135" t="s">
        <v>232</v>
      </c>
      <c r="H8" s="520">
        <v>7550</v>
      </c>
      <c r="I8" s="521"/>
      <c r="J8" s="89"/>
      <c r="K8" s="89"/>
      <c r="M8" s="82" t="s">
        <v>93</v>
      </c>
      <c r="N8" s="86" t="s">
        <v>44</v>
      </c>
    </row>
    <row r="9" spans="2:14" ht="30.75" customHeight="1" x14ac:dyDescent="0.15">
      <c r="B9" s="118" t="s">
        <v>68</v>
      </c>
      <c r="C9" s="522" t="s">
        <v>81</v>
      </c>
      <c r="D9" s="522"/>
      <c r="E9" s="522"/>
      <c r="F9" s="522"/>
      <c r="G9" s="135" t="s">
        <v>233</v>
      </c>
      <c r="H9" s="523" t="s">
        <v>355</v>
      </c>
      <c r="I9" s="524"/>
      <c r="J9" s="90"/>
      <c r="K9" s="90"/>
      <c r="M9" s="91" t="s">
        <v>97</v>
      </c>
    </row>
    <row r="10" spans="2:14" ht="39" customHeight="1" x14ac:dyDescent="0.15">
      <c r="B10" s="118" t="s">
        <v>235</v>
      </c>
      <c r="C10" s="515" t="s">
        <v>356</v>
      </c>
      <c r="D10" s="515"/>
      <c r="E10" s="515"/>
      <c r="F10" s="515"/>
      <c r="G10" s="515"/>
      <c r="H10" s="515"/>
      <c r="I10" s="516"/>
      <c r="J10" s="92"/>
      <c r="K10" s="92"/>
      <c r="M10" s="91"/>
    </row>
    <row r="11" spans="2:14" ht="30.75" customHeight="1" x14ac:dyDescent="0.15">
      <c r="B11" s="118" t="s">
        <v>237</v>
      </c>
      <c r="C11" s="517" t="s">
        <v>357</v>
      </c>
      <c r="D11" s="517"/>
      <c r="E11" s="517"/>
      <c r="F11" s="517"/>
      <c r="G11" s="517"/>
      <c r="H11" s="517"/>
      <c r="I11" s="525"/>
      <c r="J11" s="88"/>
      <c r="K11" s="88"/>
      <c r="M11" s="91"/>
      <c r="N11" s="86" t="s">
        <v>102</v>
      </c>
    </row>
    <row r="12" spans="2:14" ht="30.75" customHeight="1" x14ac:dyDescent="0.15">
      <c r="B12" s="118" t="s">
        <v>239</v>
      </c>
      <c r="C12" s="518" t="s">
        <v>358</v>
      </c>
      <c r="D12" s="518"/>
      <c r="E12" s="518"/>
      <c r="F12" s="518"/>
      <c r="G12" s="135" t="s">
        <v>241</v>
      </c>
      <c r="H12" s="542" t="s">
        <v>106</v>
      </c>
      <c r="I12" s="543"/>
      <c r="J12" s="88"/>
      <c r="K12" s="88"/>
      <c r="M12" s="91" t="s">
        <v>107</v>
      </c>
      <c r="N12" s="86" t="s">
        <v>84</v>
      </c>
    </row>
    <row r="13" spans="2:14" ht="30.75" customHeight="1" x14ac:dyDescent="0.15">
      <c r="B13" s="118" t="s">
        <v>242</v>
      </c>
      <c r="C13" s="526" t="s">
        <v>243</v>
      </c>
      <c r="D13" s="526"/>
      <c r="E13" s="526"/>
      <c r="F13" s="526"/>
      <c r="G13" s="135" t="s">
        <v>244</v>
      </c>
      <c r="H13" s="517" t="s">
        <v>77</v>
      </c>
      <c r="I13" s="525"/>
      <c r="J13" s="88"/>
      <c r="K13" s="88"/>
      <c r="M13" s="91" t="s">
        <v>111</v>
      </c>
    </row>
    <row r="14" spans="2:14" ht="30" customHeight="1" x14ac:dyDescent="0.15">
      <c r="B14" s="118" t="s">
        <v>245</v>
      </c>
      <c r="C14" s="728" t="s">
        <v>359</v>
      </c>
      <c r="D14" s="729"/>
      <c r="E14" s="729"/>
      <c r="F14" s="729"/>
      <c r="G14" s="729"/>
      <c r="H14" s="729"/>
      <c r="I14" s="730"/>
      <c r="J14" s="92"/>
      <c r="K14" s="92"/>
      <c r="M14" s="91" t="s">
        <v>114</v>
      </c>
      <c r="N14" s="86"/>
    </row>
    <row r="15" spans="2:14" ht="30.75" customHeight="1" x14ac:dyDescent="0.15">
      <c r="B15" s="118" t="s">
        <v>247</v>
      </c>
      <c r="C15" s="518" t="s">
        <v>303</v>
      </c>
      <c r="D15" s="518"/>
      <c r="E15" s="518"/>
      <c r="F15" s="518"/>
      <c r="G15" s="518"/>
      <c r="H15" s="518"/>
      <c r="I15" s="519"/>
      <c r="J15" s="93"/>
      <c r="K15" s="93"/>
      <c r="M15" s="91" t="s">
        <v>118</v>
      </c>
      <c r="N15" s="86"/>
    </row>
    <row r="16" spans="2:14" ht="20.25" customHeight="1" x14ac:dyDescent="0.15">
      <c r="B16" s="118" t="s">
        <v>249</v>
      </c>
      <c r="C16" s="515" t="s">
        <v>360</v>
      </c>
      <c r="D16" s="515"/>
      <c r="E16" s="515"/>
      <c r="F16" s="515"/>
      <c r="G16" s="515"/>
      <c r="H16" s="515"/>
      <c r="I16" s="516"/>
      <c r="J16" s="94"/>
      <c r="K16" s="94"/>
      <c r="M16" s="91"/>
      <c r="N16" s="86"/>
    </row>
    <row r="17" spans="2:14" ht="30.75" customHeight="1" x14ac:dyDescent="0.15">
      <c r="B17" s="118" t="s">
        <v>251</v>
      </c>
      <c r="C17" s="517" t="s">
        <v>43</v>
      </c>
      <c r="D17" s="533"/>
      <c r="E17" s="533"/>
      <c r="F17" s="533"/>
      <c r="G17" s="533"/>
      <c r="H17" s="533"/>
      <c r="I17" s="534"/>
      <c r="J17" s="95"/>
      <c r="K17" s="95"/>
      <c r="M17" s="91" t="s">
        <v>106</v>
      </c>
      <c r="N17" s="86"/>
    </row>
    <row r="18" spans="2:14" ht="18" customHeight="1" x14ac:dyDescent="0.15">
      <c r="B18" s="535" t="s">
        <v>253</v>
      </c>
      <c r="C18" s="536" t="s">
        <v>254</v>
      </c>
      <c r="D18" s="536"/>
      <c r="E18" s="536"/>
      <c r="F18" s="537" t="s">
        <v>255</v>
      </c>
      <c r="G18" s="537"/>
      <c r="H18" s="537"/>
      <c r="I18" s="538"/>
      <c r="J18" s="96"/>
      <c r="K18" s="96"/>
      <c r="M18" s="91" t="s">
        <v>128</v>
      </c>
      <c r="N18" s="86"/>
    </row>
    <row r="19" spans="2:14" ht="39.75" customHeight="1" x14ac:dyDescent="0.15">
      <c r="B19" s="535"/>
      <c r="C19" s="515" t="s">
        <v>361</v>
      </c>
      <c r="D19" s="515"/>
      <c r="E19" s="515"/>
      <c r="F19" s="515" t="s">
        <v>362</v>
      </c>
      <c r="G19" s="515"/>
      <c r="H19" s="515"/>
      <c r="I19" s="516"/>
      <c r="J19" s="94"/>
      <c r="K19" s="94"/>
      <c r="M19" s="91" t="s">
        <v>132</v>
      </c>
      <c r="N19" s="86"/>
    </row>
    <row r="20" spans="2:14" ht="39.75" customHeight="1" x14ac:dyDescent="0.15">
      <c r="B20" s="118" t="s">
        <v>258</v>
      </c>
      <c r="C20" s="539" t="s">
        <v>252</v>
      </c>
      <c r="D20" s="540"/>
      <c r="E20" s="541"/>
      <c r="F20" s="542" t="s">
        <v>252</v>
      </c>
      <c r="G20" s="542"/>
      <c r="H20" s="542"/>
      <c r="I20" s="543"/>
      <c r="J20" s="88"/>
      <c r="K20" s="88"/>
      <c r="M20" s="91"/>
      <c r="N20" s="86"/>
    </row>
    <row r="21" spans="2:14" ht="361.25" customHeight="1" x14ac:dyDescent="0.15">
      <c r="B21" s="118" t="s">
        <v>259</v>
      </c>
      <c r="C21" s="544" t="s">
        <v>363</v>
      </c>
      <c r="D21" s="545"/>
      <c r="E21" s="546"/>
      <c r="F21" s="877" t="s">
        <v>364</v>
      </c>
      <c r="G21" s="878"/>
      <c r="H21" s="878"/>
      <c r="I21" s="879"/>
      <c r="J21" s="93"/>
      <c r="K21" s="93"/>
      <c r="M21" s="97"/>
      <c r="N21" s="86"/>
    </row>
    <row r="22" spans="2:14" ht="23.25" customHeight="1" x14ac:dyDescent="0.15">
      <c r="B22" s="118" t="s">
        <v>262</v>
      </c>
      <c r="C22" s="527">
        <v>44562</v>
      </c>
      <c r="D22" s="549"/>
      <c r="E22" s="550"/>
      <c r="F22" s="135" t="s">
        <v>263</v>
      </c>
      <c r="G22" s="244">
        <v>0.1</v>
      </c>
      <c r="H22" s="135" t="s">
        <v>264</v>
      </c>
      <c r="I22" s="245">
        <v>0.1</v>
      </c>
      <c r="J22" s="98"/>
      <c r="K22" s="98"/>
      <c r="M22" s="97"/>
    </row>
    <row r="23" spans="2:14" ht="27" customHeight="1" x14ac:dyDescent="0.15">
      <c r="B23" s="118" t="s">
        <v>265</v>
      </c>
      <c r="C23" s="527">
        <v>44926</v>
      </c>
      <c r="D23" s="528"/>
      <c r="E23" s="529"/>
      <c r="F23" s="135" t="s">
        <v>266</v>
      </c>
      <c r="G23" s="530">
        <v>0.3</v>
      </c>
      <c r="H23" s="531"/>
      <c r="I23" s="532"/>
      <c r="J23" s="99"/>
      <c r="K23" s="99"/>
      <c r="M23" s="97"/>
    </row>
    <row r="24" spans="2:14" ht="30.75" customHeight="1" x14ac:dyDescent="0.15">
      <c r="B24" s="227" t="s">
        <v>267</v>
      </c>
      <c r="C24" s="551" t="s">
        <v>268</v>
      </c>
      <c r="D24" s="552"/>
      <c r="E24" s="553"/>
      <c r="F24" s="228" t="s">
        <v>269</v>
      </c>
      <c r="G24" s="547" t="s">
        <v>46</v>
      </c>
      <c r="H24" s="528"/>
      <c r="I24" s="548"/>
      <c r="J24" s="96"/>
      <c r="K24" s="96"/>
      <c r="M24" s="97"/>
    </row>
    <row r="25" spans="2:14" ht="22.5" customHeight="1" x14ac:dyDescent="0.15">
      <c r="B25" s="511" t="s">
        <v>270</v>
      </c>
      <c r="C25" s="512"/>
      <c r="D25" s="512"/>
      <c r="E25" s="512"/>
      <c r="F25" s="512"/>
      <c r="G25" s="512"/>
      <c r="H25" s="512"/>
      <c r="I25" s="513"/>
      <c r="J25" s="85"/>
      <c r="K25" s="85"/>
      <c r="M25" s="97"/>
    </row>
    <row r="26" spans="2:14" ht="43.5" customHeight="1" x14ac:dyDescent="0.15">
      <c r="B26" s="100" t="s">
        <v>148</v>
      </c>
      <c r="C26" s="138" t="s">
        <v>271</v>
      </c>
      <c r="D26" s="138" t="s">
        <v>272</v>
      </c>
      <c r="E26" s="139" t="s">
        <v>273</v>
      </c>
      <c r="F26" s="138" t="s">
        <v>274</v>
      </c>
      <c r="G26" s="138" t="s">
        <v>275</v>
      </c>
      <c r="H26" s="139" t="s">
        <v>276</v>
      </c>
      <c r="I26" s="140" t="s">
        <v>277</v>
      </c>
      <c r="J26" s="94"/>
      <c r="K26" s="94"/>
      <c r="M26" s="97"/>
    </row>
    <row r="27" spans="2:14" ht="15.5" customHeight="1" x14ac:dyDescent="0.15">
      <c r="B27" s="100" t="s">
        <v>278</v>
      </c>
      <c r="C27" s="233">
        <f>8.33%*$G$23</f>
        <v>2.4989999999999998E-2</v>
      </c>
      <c r="D27" s="233">
        <f>8.33%*$G$23</f>
        <v>2.4989999999999998E-2</v>
      </c>
      <c r="E27" s="131">
        <f>D27/C27</f>
        <v>1</v>
      </c>
      <c r="F27" s="569">
        <f>SUM(C27:C38)</f>
        <v>0.29988000000000004</v>
      </c>
      <c r="G27" s="569">
        <f>SUM(D27:D38)</f>
        <v>0.19991999999999999</v>
      </c>
      <c r="H27" s="246">
        <f>+(D27*100%)/$G$23</f>
        <v>8.3299999999999999E-2</v>
      </c>
      <c r="I27" s="566">
        <f>G27+I22</f>
        <v>0.29991999999999996</v>
      </c>
      <c r="J27" s="94"/>
      <c r="K27" s="94"/>
      <c r="M27" s="97"/>
    </row>
    <row r="28" spans="2:14" ht="15.5" customHeight="1" x14ac:dyDescent="0.15">
      <c r="B28" s="100" t="s">
        <v>158</v>
      </c>
      <c r="C28" s="233">
        <f>8.33%*$G$23</f>
        <v>2.4989999999999998E-2</v>
      </c>
      <c r="D28" s="233">
        <f>8.33%*$G$23</f>
        <v>2.4989999999999998E-2</v>
      </c>
      <c r="E28" s="131">
        <f>D28/C28</f>
        <v>1</v>
      </c>
      <c r="F28" s="570"/>
      <c r="G28" s="570"/>
      <c r="H28" s="246">
        <f>+IF(D28="","",((D28*100%)/$G$23)+H27)</f>
        <v>0.1666</v>
      </c>
      <c r="I28" s="567"/>
      <c r="J28" s="94"/>
      <c r="K28" s="94"/>
      <c r="M28" s="97"/>
    </row>
    <row r="29" spans="2:14" ht="15.5" customHeight="1" x14ac:dyDescent="0.15">
      <c r="B29" s="100" t="s">
        <v>159</v>
      </c>
      <c r="C29" s="233">
        <f t="shared" ref="C29:D38" si="0">8.33%*$G$23</f>
        <v>2.4989999999999998E-2</v>
      </c>
      <c r="D29" s="233">
        <f t="shared" si="0"/>
        <v>2.4989999999999998E-2</v>
      </c>
      <c r="E29" s="131">
        <f>D29/C29</f>
        <v>1</v>
      </c>
      <c r="F29" s="570"/>
      <c r="G29" s="570"/>
      <c r="H29" s="246">
        <f>+IF(D29="","",((D29*100%)/$G$23)+H28)</f>
        <v>0.24990000000000001</v>
      </c>
      <c r="I29" s="567"/>
      <c r="J29" s="94"/>
      <c r="K29" s="94"/>
      <c r="M29" s="97"/>
    </row>
    <row r="30" spans="2:14" ht="15.5" customHeight="1" x14ac:dyDescent="0.15">
      <c r="B30" s="100" t="s">
        <v>160</v>
      </c>
      <c r="C30" s="233">
        <f t="shared" si="0"/>
        <v>2.4989999999999998E-2</v>
      </c>
      <c r="D30" s="233">
        <f t="shared" si="0"/>
        <v>2.4989999999999998E-2</v>
      </c>
      <c r="E30" s="131">
        <f t="shared" ref="E30:E31" si="1">D30/C30</f>
        <v>1</v>
      </c>
      <c r="F30" s="570"/>
      <c r="G30" s="570"/>
      <c r="H30" s="246">
        <f t="shared" ref="H30:H38" si="2">+IF(D30="","",((D30*100%)/$G$23)+H29)</f>
        <v>0.3332</v>
      </c>
      <c r="I30" s="567"/>
      <c r="J30" s="94"/>
      <c r="K30" s="94"/>
      <c r="M30" s="97"/>
    </row>
    <row r="31" spans="2:14" ht="15.5" customHeight="1" x14ac:dyDescent="0.15">
      <c r="B31" s="100" t="s">
        <v>161</v>
      </c>
      <c r="C31" s="233">
        <f t="shared" si="0"/>
        <v>2.4989999999999998E-2</v>
      </c>
      <c r="D31" s="233">
        <f t="shared" si="0"/>
        <v>2.4989999999999998E-2</v>
      </c>
      <c r="E31" s="131">
        <f t="shared" si="1"/>
        <v>1</v>
      </c>
      <c r="F31" s="570"/>
      <c r="G31" s="570"/>
      <c r="H31" s="246">
        <f t="shared" si="2"/>
        <v>0.41649999999999998</v>
      </c>
      <c r="I31" s="567"/>
      <c r="J31" s="94"/>
      <c r="K31" s="94"/>
      <c r="M31" s="97"/>
    </row>
    <row r="32" spans="2:14" ht="15.5" customHeight="1" x14ac:dyDescent="0.15">
      <c r="B32" s="100" t="s">
        <v>162</v>
      </c>
      <c r="C32" s="233">
        <f t="shared" si="0"/>
        <v>2.4989999999999998E-2</v>
      </c>
      <c r="D32" s="233">
        <f t="shared" si="0"/>
        <v>2.4989999999999998E-2</v>
      </c>
      <c r="E32" s="131">
        <f>D32/C32</f>
        <v>1</v>
      </c>
      <c r="F32" s="570"/>
      <c r="G32" s="570"/>
      <c r="H32" s="246">
        <f t="shared" si="2"/>
        <v>0.49979999999999997</v>
      </c>
      <c r="I32" s="567"/>
      <c r="J32" s="94"/>
      <c r="K32" s="94"/>
      <c r="M32" s="97"/>
    </row>
    <row r="33" spans="2:11" ht="19.5" customHeight="1" x14ac:dyDescent="0.15">
      <c r="B33" s="100" t="s">
        <v>163</v>
      </c>
      <c r="C33" s="233">
        <f t="shared" si="0"/>
        <v>2.4989999999999998E-2</v>
      </c>
      <c r="D33" s="233">
        <f t="shared" si="0"/>
        <v>2.4989999999999998E-2</v>
      </c>
      <c r="E33" s="131">
        <f t="shared" ref="E33:E38" si="3">D33/C33</f>
        <v>1</v>
      </c>
      <c r="F33" s="570"/>
      <c r="G33" s="570"/>
      <c r="H33" s="246">
        <f t="shared" si="2"/>
        <v>0.58309999999999995</v>
      </c>
      <c r="I33" s="567"/>
      <c r="J33" s="102"/>
      <c r="K33" s="102"/>
    </row>
    <row r="34" spans="2:11" ht="19.5" customHeight="1" x14ac:dyDescent="0.15">
      <c r="B34" s="100" t="s">
        <v>164</v>
      </c>
      <c r="C34" s="233">
        <f t="shared" si="0"/>
        <v>2.4989999999999998E-2</v>
      </c>
      <c r="D34" s="233">
        <f>+C34</f>
        <v>2.4989999999999998E-2</v>
      </c>
      <c r="E34" s="131">
        <f t="shared" si="3"/>
        <v>1</v>
      </c>
      <c r="F34" s="570"/>
      <c r="G34" s="570"/>
      <c r="H34" s="246">
        <f t="shared" si="2"/>
        <v>0.66639999999999999</v>
      </c>
      <c r="I34" s="567"/>
      <c r="J34" s="102"/>
      <c r="K34" s="102"/>
    </row>
    <row r="35" spans="2:11" ht="19.5" customHeight="1" x14ac:dyDescent="0.15">
      <c r="B35" s="100" t="s">
        <v>165</v>
      </c>
      <c r="C35" s="233">
        <f t="shared" si="0"/>
        <v>2.4989999999999998E-2</v>
      </c>
      <c r="D35" s="233"/>
      <c r="E35" s="131">
        <f t="shared" si="3"/>
        <v>0</v>
      </c>
      <c r="F35" s="570"/>
      <c r="G35" s="570"/>
      <c r="H35" s="246" t="str">
        <f t="shared" si="2"/>
        <v/>
      </c>
      <c r="I35" s="567"/>
      <c r="J35" s="102"/>
      <c r="K35" s="102"/>
    </row>
    <row r="36" spans="2:11" ht="19.5" customHeight="1" x14ac:dyDescent="0.15">
      <c r="B36" s="100" t="s">
        <v>166</v>
      </c>
      <c r="C36" s="233">
        <f t="shared" si="0"/>
        <v>2.4989999999999998E-2</v>
      </c>
      <c r="D36" s="233"/>
      <c r="E36" s="131">
        <f t="shared" si="3"/>
        <v>0</v>
      </c>
      <c r="F36" s="570"/>
      <c r="G36" s="570"/>
      <c r="H36" s="246" t="str">
        <f t="shared" si="2"/>
        <v/>
      </c>
      <c r="I36" s="567"/>
      <c r="J36" s="102"/>
      <c r="K36" s="102"/>
    </row>
    <row r="37" spans="2:11" ht="19.5" customHeight="1" x14ac:dyDescent="0.15">
      <c r="B37" s="100" t="s">
        <v>167</v>
      </c>
      <c r="C37" s="233">
        <f t="shared" si="0"/>
        <v>2.4989999999999998E-2</v>
      </c>
      <c r="D37" s="233"/>
      <c r="E37" s="131">
        <f t="shared" si="3"/>
        <v>0</v>
      </c>
      <c r="F37" s="570"/>
      <c r="G37" s="570"/>
      <c r="H37" s="246" t="str">
        <f t="shared" si="2"/>
        <v/>
      </c>
      <c r="I37" s="567"/>
      <c r="J37" s="102"/>
      <c r="K37" s="102"/>
    </row>
    <row r="38" spans="2:11" ht="19.5" customHeight="1" x14ac:dyDescent="0.15">
      <c r="B38" s="100" t="s">
        <v>168</v>
      </c>
      <c r="C38" s="233">
        <f t="shared" si="0"/>
        <v>2.4989999999999998E-2</v>
      </c>
      <c r="D38" s="233"/>
      <c r="E38" s="131">
        <f t="shared" si="3"/>
        <v>0</v>
      </c>
      <c r="F38" s="571"/>
      <c r="G38" s="571"/>
      <c r="H38" s="246" t="str">
        <f t="shared" si="2"/>
        <v/>
      </c>
      <c r="I38" s="568"/>
      <c r="J38" s="102"/>
      <c r="K38" s="102"/>
    </row>
    <row r="39" spans="2:11" ht="78.75" customHeight="1" x14ac:dyDescent="0.15">
      <c r="B39" s="119" t="s">
        <v>280</v>
      </c>
      <c r="C39" s="731" t="s">
        <v>365</v>
      </c>
      <c r="D39" s="732"/>
      <c r="E39" s="732"/>
      <c r="F39" s="732"/>
      <c r="G39" s="732"/>
      <c r="H39" s="732"/>
      <c r="I39" s="733"/>
      <c r="J39" s="103"/>
      <c r="K39" s="103"/>
    </row>
    <row r="40" spans="2:11" ht="47.75" customHeight="1" x14ac:dyDescent="0.15">
      <c r="B40" s="557"/>
      <c r="C40" s="558"/>
      <c r="D40" s="558"/>
      <c r="E40" s="558"/>
      <c r="F40" s="558"/>
      <c r="G40" s="558"/>
      <c r="H40" s="558"/>
      <c r="I40" s="559"/>
      <c r="J40" s="85"/>
      <c r="K40" s="85"/>
    </row>
    <row r="41" spans="2:11" ht="47.75" customHeight="1" x14ac:dyDescent="0.15">
      <c r="B41" s="560"/>
      <c r="C41" s="561"/>
      <c r="D41" s="561"/>
      <c r="E41" s="561"/>
      <c r="F41" s="561"/>
      <c r="G41" s="561"/>
      <c r="H41" s="561"/>
      <c r="I41" s="562"/>
      <c r="J41" s="103"/>
      <c r="K41" s="103"/>
    </row>
    <row r="42" spans="2:11" ht="47.75" customHeight="1" x14ac:dyDescent="0.15">
      <c r="B42" s="560"/>
      <c r="C42" s="561"/>
      <c r="D42" s="561"/>
      <c r="E42" s="561"/>
      <c r="F42" s="561"/>
      <c r="G42" s="561"/>
      <c r="H42" s="561"/>
      <c r="I42" s="562"/>
      <c r="J42" s="103"/>
      <c r="K42" s="103"/>
    </row>
    <row r="43" spans="2:11" ht="47.75" customHeight="1" x14ac:dyDescent="0.15">
      <c r="B43" s="560"/>
      <c r="C43" s="561"/>
      <c r="D43" s="561"/>
      <c r="E43" s="561"/>
      <c r="F43" s="561"/>
      <c r="G43" s="561"/>
      <c r="H43" s="561"/>
      <c r="I43" s="562"/>
      <c r="J43" s="103"/>
      <c r="K43" s="103"/>
    </row>
    <row r="44" spans="2:11" ht="47.75" customHeight="1" x14ac:dyDescent="0.15">
      <c r="B44" s="563"/>
      <c r="C44" s="564"/>
      <c r="D44" s="564"/>
      <c r="E44" s="564"/>
      <c r="F44" s="564"/>
      <c r="G44" s="564"/>
      <c r="H44" s="564"/>
      <c r="I44" s="565"/>
      <c r="J44" s="84"/>
      <c r="K44" s="84"/>
    </row>
    <row r="45" spans="2:11" ht="47.75" customHeight="1" x14ac:dyDescent="0.15">
      <c r="B45" s="150"/>
      <c r="C45" s="167" t="s">
        <v>366</v>
      </c>
      <c r="D45" s="151"/>
      <c r="E45" s="151"/>
      <c r="F45" s="151"/>
      <c r="G45" s="151"/>
      <c r="H45" s="151"/>
      <c r="I45" s="151"/>
      <c r="J45" s="84"/>
      <c r="K45" s="84"/>
    </row>
    <row r="46" spans="2:11" ht="43.25" customHeight="1" x14ac:dyDescent="0.15">
      <c r="B46" s="735" t="s">
        <v>282</v>
      </c>
      <c r="C46" s="880" t="s">
        <v>482</v>
      </c>
      <c r="D46" s="881"/>
      <c r="E46" s="881"/>
      <c r="F46" s="882"/>
      <c r="G46" s="153"/>
      <c r="H46" s="144" t="s">
        <v>148</v>
      </c>
      <c r="I46" s="145" t="s">
        <v>310</v>
      </c>
      <c r="J46" s="104"/>
      <c r="K46" s="104"/>
    </row>
    <row r="47" spans="2:11" ht="43.25" customHeight="1" x14ac:dyDescent="0.15">
      <c r="B47" s="736"/>
      <c r="C47" s="883"/>
      <c r="D47" s="884"/>
      <c r="E47" s="884"/>
      <c r="F47" s="885"/>
      <c r="G47" s="146" t="s">
        <v>367</v>
      </c>
      <c r="H47" s="154">
        <v>266</v>
      </c>
      <c r="I47" s="154">
        <v>1663</v>
      </c>
      <c r="J47" s="104"/>
      <c r="K47" s="104"/>
    </row>
    <row r="48" spans="2:11" ht="42.75" customHeight="1" x14ac:dyDescent="0.15">
      <c r="B48" s="736"/>
      <c r="C48" s="883"/>
      <c r="D48" s="884"/>
      <c r="E48" s="884"/>
      <c r="F48" s="885"/>
      <c r="G48" s="147" t="s">
        <v>368</v>
      </c>
      <c r="H48" s="160" t="s">
        <v>459</v>
      </c>
      <c r="I48" s="160" t="s">
        <v>460</v>
      </c>
      <c r="J48" s="104"/>
      <c r="K48" s="104"/>
    </row>
    <row r="49" spans="2:11" ht="183" customHeight="1" x14ac:dyDescent="0.15">
      <c r="B49" s="736"/>
      <c r="C49" s="883"/>
      <c r="D49" s="884"/>
      <c r="E49" s="884"/>
      <c r="F49" s="885"/>
      <c r="G49" s="147" t="s">
        <v>369</v>
      </c>
      <c r="H49" s="160" t="s">
        <v>461</v>
      </c>
      <c r="I49" s="160" t="s">
        <v>462</v>
      </c>
      <c r="J49" s="104"/>
      <c r="K49" s="104"/>
    </row>
    <row r="50" spans="2:11" ht="166" customHeight="1" x14ac:dyDescent="0.15">
      <c r="B50" s="736"/>
      <c r="C50" s="886"/>
      <c r="D50" s="887"/>
      <c r="E50" s="887"/>
      <c r="F50" s="888"/>
      <c r="G50" s="147" t="s">
        <v>370</v>
      </c>
      <c r="H50" s="161" t="s">
        <v>463</v>
      </c>
      <c r="I50" s="161" t="s">
        <v>464</v>
      </c>
      <c r="J50" s="104"/>
      <c r="K50" s="104"/>
    </row>
    <row r="51" spans="2:11" ht="91.25" customHeight="1" x14ac:dyDescent="0.15">
      <c r="B51" s="736"/>
      <c r="C51" s="889" t="s">
        <v>483</v>
      </c>
      <c r="D51" s="890"/>
      <c r="E51" s="890"/>
      <c r="F51" s="891"/>
      <c r="G51" s="146" t="s">
        <v>371</v>
      </c>
      <c r="H51" s="154">
        <v>18</v>
      </c>
      <c r="I51" s="154">
        <v>393</v>
      </c>
      <c r="J51" s="104"/>
      <c r="K51" s="104"/>
    </row>
    <row r="52" spans="2:11" ht="91.25" customHeight="1" x14ac:dyDescent="0.15">
      <c r="B52" s="736"/>
      <c r="C52" s="892"/>
      <c r="D52" s="893"/>
      <c r="E52" s="893"/>
      <c r="F52" s="894"/>
      <c r="G52" s="147" t="s">
        <v>372</v>
      </c>
      <c r="H52" s="154">
        <v>19</v>
      </c>
      <c r="I52" s="154">
        <v>131</v>
      </c>
      <c r="J52" s="104"/>
      <c r="K52" s="104"/>
    </row>
    <row r="53" spans="2:11" ht="91.25" customHeight="1" x14ac:dyDescent="0.15">
      <c r="B53" s="736"/>
      <c r="C53" s="892"/>
      <c r="D53" s="893"/>
      <c r="E53" s="893"/>
      <c r="F53" s="894"/>
      <c r="G53" s="147" t="s">
        <v>373</v>
      </c>
      <c r="H53" s="154">
        <v>2</v>
      </c>
      <c r="I53" s="154">
        <v>53</v>
      </c>
      <c r="J53" s="104"/>
      <c r="K53" s="104"/>
    </row>
    <row r="54" spans="2:11" ht="140.5" customHeight="1" x14ac:dyDescent="0.15">
      <c r="B54" s="736"/>
      <c r="C54" s="895"/>
      <c r="D54" s="896"/>
      <c r="E54" s="896"/>
      <c r="F54" s="897"/>
      <c r="G54" s="147" t="s">
        <v>374</v>
      </c>
      <c r="H54" s="154">
        <v>60</v>
      </c>
      <c r="I54" s="154">
        <v>359</v>
      </c>
      <c r="J54" s="104"/>
      <c r="K54" s="104"/>
    </row>
    <row r="55" spans="2:11" ht="51" customHeight="1" x14ac:dyDescent="0.15">
      <c r="B55" s="736"/>
      <c r="C55" s="737" t="s">
        <v>465</v>
      </c>
      <c r="D55" s="738"/>
      <c r="E55" s="738"/>
      <c r="F55" s="739"/>
      <c r="G55" s="146" t="s">
        <v>375</v>
      </c>
      <c r="H55" s="154">
        <v>19</v>
      </c>
      <c r="I55" s="154">
        <v>47</v>
      </c>
      <c r="J55" s="104"/>
      <c r="K55" s="104"/>
    </row>
    <row r="56" spans="2:11" ht="51" customHeight="1" x14ac:dyDescent="0.15">
      <c r="B56" s="736"/>
      <c r="C56" s="740"/>
      <c r="D56" s="741"/>
      <c r="E56" s="741"/>
      <c r="F56" s="742"/>
      <c r="G56" s="147" t="s">
        <v>376</v>
      </c>
      <c r="H56" s="154">
        <v>1</v>
      </c>
      <c r="I56" s="154">
        <v>54</v>
      </c>
      <c r="J56" s="104"/>
      <c r="K56" s="104"/>
    </row>
    <row r="57" spans="2:11" ht="51" customHeight="1" x14ac:dyDescent="0.15">
      <c r="B57" s="736"/>
      <c r="C57" s="743"/>
      <c r="D57" s="744"/>
      <c r="E57" s="744"/>
      <c r="F57" s="745"/>
      <c r="G57" s="147" t="s">
        <v>377</v>
      </c>
      <c r="H57" s="154">
        <v>0</v>
      </c>
      <c r="I57" s="154">
        <v>27</v>
      </c>
      <c r="J57" s="104"/>
      <c r="K57" s="104"/>
    </row>
    <row r="58" spans="2:11" ht="139.25" customHeight="1" x14ac:dyDescent="0.15">
      <c r="B58" s="148" t="s">
        <v>283</v>
      </c>
      <c r="C58" s="734" t="s">
        <v>378</v>
      </c>
      <c r="D58" s="734"/>
      <c r="E58" s="734"/>
      <c r="F58" s="734"/>
      <c r="G58" s="734"/>
      <c r="H58" s="734"/>
      <c r="I58" s="734"/>
      <c r="J58" s="104"/>
      <c r="K58" s="104"/>
    </row>
    <row r="59" spans="2:11" ht="54" customHeight="1" x14ac:dyDescent="0.15">
      <c r="B59" s="120" t="s">
        <v>284</v>
      </c>
      <c r="C59" s="583" t="s">
        <v>379</v>
      </c>
      <c r="D59" s="584"/>
      <c r="E59" s="584"/>
      <c r="F59" s="584"/>
      <c r="G59" s="584"/>
      <c r="H59" s="584"/>
      <c r="I59" s="585"/>
      <c r="J59" s="104"/>
      <c r="K59" s="104"/>
    </row>
    <row r="60" spans="2:11" ht="22.5" customHeight="1" x14ac:dyDescent="0.15">
      <c r="B60" s="511" t="s">
        <v>286</v>
      </c>
      <c r="C60" s="512"/>
      <c r="D60" s="512"/>
      <c r="E60" s="512"/>
      <c r="F60" s="512"/>
      <c r="G60" s="512"/>
      <c r="H60" s="512"/>
      <c r="I60" s="513"/>
      <c r="J60" s="104"/>
      <c r="K60" s="104"/>
    </row>
    <row r="61" spans="2:11" ht="22.5" customHeight="1" x14ac:dyDescent="0.15">
      <c r="B61" s="579" t="s">
        <v>287</v>
      </c>
      <c r="C61" s="141" t="s">
        <v>288</v>
      </c>
      <c r="D61" s="581" t="s">
        <v>289</v>
      </c>
      <c r="E61" s="581"/>
      <c r="F61" s="581"/>
      <c r="G61" s="581" t="s">
        <v>290</v>
      </c>
      <c r="H61" s="581"/>
      <c r="I61" s="582"/>
      <c r="J61" s="105"/>
      <c r="K61" s="105"/>
    </row>
    <row r="62" spans="2:11" ht="30.75" customHeight="1" x14ac:dyDescent="0.15">
      <c r="B62" s="580"/>
      <c r="C62" s="142"/>
      <c r="D62" s="627"/>
      <c r="E62" s="627"/>
      <c r="F62" s="627"/>
      <c r="G62" s="627"/>
      <c r="H62" s="627"/>
      <c r="I62" s="628"/>
      <c r="J62" s="105"/>
      <c r="K62" s="105"/>
    </row>
    <row r="63" spans="2:11" ht="32.25" customHeight="1" x14ac:dyDescent="0.15">
      <c r="B63" s="121" t="s">
        <v>291</v>
      </c>
      <c r="C63" s="746" t="s">
        <v>380</v>
      </c>
      <c r="D63" s="746"/>
      <c r="E63" s="746"/>
      <c r="F63" s="746"/>
      <c r="G63" s="746"/>
      <c r="H63" s="746"/>
      <c r="I63" s="747"/>
      <c r="J63" s="106"/>
      <c r="K63" s="106"/>
    </row>
    <row r="64" spans="2:11" ht="28.5" customHeight="1" x14ac:dyDescent="0.15">
      <c r="B64" s="122" t="s">
        <v>293</v>
      </c>
      <c r="C64" s="746" t="s">
        <v>380</v>
      </c>
      <c r="D64" s="746"/>
      <c r="E64" s="746"/>
      <c r="F64" s="746"/>
      <c r="G64" s="746"/>
      <c r="H64" s="746"/>
      <c r="I64" s="747"/>
      <c r="J64" s="106"/>
      <c r="K64" s="106"/>
    </row>
    <row r="65" spans="2:11" ht="30" customHeight="1" x14ac:dyDescent="0.15">
      <c r="B65" s="120" t="s">
        <v>294</v>
      </c>
      <c r="C65" s="746" t="s">
        <v>381</v>
      </c>
      <c r="D65" s="746"/>
      <c r="E65" s="746"/>
      <c r="F65" s="746"/>
      <c r="G65" s="746"/>
      <c r="H65" s="746"/>
      <c r="I65" s="747"/>
      <c r="J65" s="107"/>
      <c r="K65" s="107"/>
    </row>
    <row r="66" spans="2:11" ht="31.5" customHeight="1" thickBot="1" x14ac:dyDescent="0.2">
      <c r="B66" s="116" t="s">
        <v>296</v>
      </c>
      <c r="C66" s="746" t="s">
        <v>484</v>
      </c>
      <c r="D66" s="746"/>
      <c r="E66" s="746"/>
      <c r="F66" s="746"/>
      <c r="G66" s="746"/>
      <c r="H66" s="746"/>
      <c r="I66" s="747"/>
      <c r="J66" s="108"/>
      <c r="K66" s="108"/>
    </row>
    <row r="67" spans="2:11" x14ac:dyDescent="0.15">
      <c r="B67" s="109"/>
      <c r="C67" s="110"/>
      <c r="D67" s="110"/>
      <c r="E67" s="111"/>
      <c r="F67" s="111"/>
      <c r="G67" s="117"/>
      <c r="H67" s="113"/>
      <c r="I67" s="110"/>
      <c r="J67" s="108"/>
      <c r="K67" s="108"/>
    </row>
    <row r="68" spans="2:11" x14ac:dyDescent="0.15">
      <c r="B68" s="109"/>
      <c r="C68" s="110"/>
      <c r="D68" s="110"/>
      <c r="E68" s="111"/>
      <c r="F68" s="111"/>
      <c r="G68" s="117"/>
      <c r="H68" s="113"/>
      <c r="I68" s="110"/>
      <c r="J68" s="108"/>
      <c r="K68" s="108"/>
    </row>
    <row r="69" spans="2:11" x14ac:dyDescent="0.15">
      <c r="B69" s="109"/>
      <c r="C69" s="110"/>
      <c r="D69" s="110"/>
      <c r="E69" s="111"/>
      <c r="F69" s="111"/>
      <c r="G69" s="117"/>
      <c r="H69" s="113"/>
      <c r="I69" s="110"/>
      <c r="J69" s="108"/>
      <c r="K69" s="108"/>
    </row>
    <row r="70" spans="2:11" x14ac:dyDescent="0.15">
      <c r="B70" s="109"/>
      <c r="C70" s="110"/>
      <c r="D70" s="110"/>
      <c r="E70" s="111"/>
      <c r="F70" s="111"/>
      <c r="G70" s="117"/>
      <c r="H70" s="113"/>
      <c r="I70" s="110"/>
      <c r="J70" s="108"/>
      <c r="K70" s="108"/>
    </row>
    <row r="71" spans="2:11" x14ac:dyDescent="0.15">
      <c r="B71" s="109"/>
      <c r="C71" s="110"/>
      <c r="D71" s="110"/>
      <c r="E71" s="111"/>
      <c r="F71" s="111"/>
      <c r="G71" s="117"/>
      <c r="H71" s="113"/>
      <c r="I71" s="110"/>
      <c r="J71" s="108"/>
      <c r="K71" s="108"/>
    </row>
    <row r="72" spans="2:11" ht="25.5" customHeight="1" x14ac:dyDescent="0.15">
      <c r="B72" s="109"/>
      <c r="C72" s="110"/>
      <c r="D72" s="110"/>
      <c r="E72" s="111"/>
      <c r="F72" s="111"/>
      <c r="G72" s="117"/>
      <c r="H72" s="113"/>
      <c r="I72" s="110"/>
      <c r="J72" s="108"/>
      <c r="K72" s="108"/>
    </row>
  </sheetData>
  <mergeCells count="62">
    <mergeCell ref="B60:I60"/>
    <mergeCell ref="C55:F57"/>
    <mergeCell ref="C46:F50"/>
    <mergeCell ref="C66:I66"/>
    <mergeCell ref="B61:B62"/>
    <mergeCell ref="D61:F61"/>
    <mergeCell ref="G61:I61"/>
    <mergeCell ref="D62:F62"/>
    <mergeCell ref="G62:I62"/>
    <mergeCell ref="C63:I63"/>
    <mergeCell ref="C64:I64"/>
    <mergeCell ref="C65:I65"/>
    <mergeCell ref="C51:F54"/>
    <mergeCell ref="C24:E24"/>
    <mergeCell ref="G24:I24"/>
    <mergeCell ref="B25:I25"/>
    <mergeCell ref="F27:F38"/>
    <mergeCell ref="G27:G38"/>
    <mergeCell ref="I27:I38"/>
    <mergeCell ref="C39:I39"/>
    <mergeCell ref="B40:I44"/>
    <mergeCell ref="C58:I58"/>
    <mergeCell ref="C59:I59"/>
    <mergeCell ref="B46:B5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S113"/>
  <sheetViews>
    <sheetView view="pageBreakPreview" topLeftCell="A63" zoomScale="85" zoomScaleNormal="85" zoomScaleSheetLayoutView="85" zoomScalePageLayoutView="85" workbookViewId="0">
      <selection activeCell="C73" sqref="C73:I73"/>
    </sheetView>
  </sheetViews>
  <sheetFormatPr baseColWidth="10" defaultColWidth="10.664062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4.33203125" style="114" customWidth="1"/>
    <col min="8" max="8" width="24.5" style="83" customWidth="1"/>
    <col min="9" max="9" width="26" style="83" customWidth="1"/>
    <col min="10" max="19" width="10.6640625" style="81"/>
    <col min="20" max="16384" width="10.6640625" style="83"/>
  </cols>
  <sheetData>
    <row r="1" spans="2:9" ht="37.5" customHeight="1" x14ac:dyDescent="0.15">
      <c r="B1" s="499"/>
      <c r="C1" s="502" t="s">
        <v>1</v>
      </c>
      <c r="D1" s="502"/>
      <c r="E1" s="502"/>
      <c r="F1" s="502"/>
      <c r="G1" s="502"/>
      <c r="H1" s="502"/>
      <c r="I1" s="503"/>
    </row>
    <row r="2" spans="2:9" ht="37.5" customHeight="1" x14ac:dyDescent="0.15">
      <c r="B2" s="500"/>
      <c r="C2" s="506" t="s">
        <v>218</v>
      </c>
      <c r="D2" s="506"/>
      <c r="E2" s="506"/>
      <c r="F2" s="506"/>
      <c r="G2" s="506"/>
      <c r="H2" s="506"/>
      <c r="I2" s="504"/>
    </row>
    <row r="3" spans="2:9" ht="37.5" customHeight="1" thickBot="1" x14ac:dyDescent="0.2">
      <c r="B3" s="501"/>
      <c r="C3" s="507" t="s">
        <v>219</v>
      </c>
      <c r="D3" s="507"/>
      <c r="E3" s="507"/>
      <c r="F3" s="507" t="s">
        <v>220</v>
      </c>
      <c r="G3" s="507"/>
      <c r="H3" s="507"/>
      <c r="I3" s="505"/>
    </row>
    <row r="4" spans="2:9" ht="23.25" customHeight="1" x14ac:dyDescent="0.15">
      <c r="B4" s="508" t="s">
        <v>221</v>
      </c>
      <c r="C4" s="509"/>
      <c r="D4" s="509"/>
      <c r="E4" s="509"/>
      <c r="F4" s="509"/>
      <c r="G4" s="509"/>
      <c r="H4" s="509"/>
      <c r="I4" s="510"/>
    </row>
    <row r="5" spans="2:9" ht="24" customHeight="1" x14ac:dyDescent="0.15">
      <c r="B5" s="511" t="s">
        <v>222</v>
      </c>
      <c r="C5" s="512"/>
      <c r="D5" s="512"/>
      <c r="E5" s="512"/>
      <c r="F5" s="512"/>
      <c r="G5" s="512"/>
      <c r="H5" s="512"/>
      <c r="I5" s="513"/>
    </row>
    <row r="6" spans="2:9" ht="30.75" customHeight="1" x14ac:dyDescent="0.15">
      <c r="B6" s="118" t="s">
        <v>223</v>
      </c>
      <c r="C6" s="134">
        <v>6</v>
      </c>
      <c r="D6" s="514" t="s">
        <v>224</v>
      </c>
      <c r="E6" s="514"/>
      <c r="F6" s="515" t="s">
        <v>382</v>
      </c>
      <c r="G6" s="515"/>
      <c r="H6" s="515"/>
      <c r="I6" s="516"/>
    </row>
    <row r="7" spans="2:9" ht="30.75" customHeight="1" x14ac:dyDescent="0.15">
      <c r="B7" s="118" t="s">
        <v>226</v>
      </c>
      <c r="C7" s="134" t="s">
        <v>84</v>
      </c>
      <c r="D7" s="514" t="s">
        <v>227</v>
      </c>
      <c r="E7" s="514"/>
      <c r="F7" s="515" t="s">
        <v>228</v>
      </c>
      <c r="G7" s="515"/>
      <c r="H7" s="135" t="s">
        <v>229</v>
      </c>
      <c r="I7" s="136" t="s">
        <v>84</v>
      </c>
    </row>
    <row r="8" spans="2:9" ht="30.75" customHeight="1" x14ac:dyDescent="0.15">
      <c r="B8" s="118" t="s">
        <v>230</v>
      </c>
      <c r="C8" s="515" t="s">
        <v>231</v>
      </c>
      <c r="D8" s="515"/>
      <c r="E8" s="515"/>
      <c r="F8" s="515"/>
      <c r="G8" s="135" t="s">
        <v>232</v>
      </c>
      <c r="H8" s="520">
        <v>7550</v>
      </c>
      <c r="I8" s="521"/>
    </row>
    <row r="9" spans="2:9" ht="30.75" customHeight="1" x14ac:dyDescent="0.15">
      <c r="B9" s="118" t="s">
        <v>68</v>
      </c>
      <c r="C9" s="522" t="s">
        <v>81</v>
      </c>
      <c r="D9" s="522"/>
      <c r="E9" s="522"/>
      <c r="F9" s="522"/>
      <c r="G9" s="135" t="s">
        <v>233</v>
      </c>
      <c r="H9" s="523" t="s">
        <v>383</v>
      </c>
      <c r="I9" s="524"/>
    </row>
    <row r="10" spans="2:9" ht="75.75" customHeight="1" x14ac:dyDescent="0.15">
      <c r="B10" s="118" t="s">
        <v>235</v>
      </c>
      <c r="C10" s="515" t="s">
        <v>384</v>
      </c>
      <c r="D10" s="515"/>
      <c r="E10" s="515"/>
      <c r="F10" s="515"/>
      <c r="G10" s="515"/>
      <c r="H10" s="515"/>
      <c r="I10" s="516"/>
    </row>
    <row r="11" spans="2:9" ht="30.75" customHeight="1" x14ac:dyDescent="0.15">
      <c r="B11" s="118" t="s">
        <v>237</v>
      </c>
      <c r="C11" s="517" t="s">
        <v>357</v>
      </c>
      <c r="D11" s="517"/>
      <c r="E11" s="517"/>
      <c r="F11" s="517"/>
      <c r="G11" s="517"/>
      <c r="H11" s="517"/>
      <c r="I11" s="525"/>
    </row>
    <row r="12" spans="2:9" ht="30.75" customHeight="1" x14ac:dyDescent="0.15">
      <c r="B12" s="118" t="s">
        <v>239</v>
      </c>
      <c r="C12" s="515" t="s">
        <v>385</v>
      </c>
      <c r="D12" s="515"/>
      <c r="E12" s="515"/>
      <c r="F12" s="515"/>
      <c r="G12" s="135" t="s">
        <v>241</v>
      </c>
      <c r="H12" s="542" t="s">
        <v>106</v>
      </c>
      <c r="I12" s="543"/>
    </row>
    <row r="13" spans="2:9" ht="30.75" customHeight="1" x14ac:dyDescent="0.15">
      <c r="B13" s="118" t="s">
        <v>242</v>
      </c>
      <c r="C13" s="526" t="s">
        <v>243</v>
      </c>
      <c r="D13" s="526"/>
      <c r="E13" s="526"/>
      <c r="F13" s="526"/>
      <c r="G13" s="135" t="s">
        <v>244</v>
      </c>
      <c r="H13" s="517" t="s">
        <v>77</v>
      </c>
      <c r="I13" s="525"/>
    </row>
    <row r="14" spans="2:9" ht="30" customHeight="1" x14ac:dyDescent="0.15">
      <c r="B14" s="118" t="s">
        <v>245</v>
      </c>
      <c r="C14" s="635" t="s">
        <v>386</v>
      </c>
      <c r="D14" s="635"/>
      <c r="E14" s="635"/>
      <c r="F14" s="635"/>
      <c r="G14" s="635"/>
      <c r="H14" s="635"/>
      <c r="I14" s="636"/>
    </row>
    <row r="15" spans="2:9" ht="30.75" customHeight="1" x14ac:dyDescent="0.15">
      <c r="B15" s="118" t="s">
        <v>247</v>
      </c>
      <c r="C15" s="518" t="s">
        <v>248</v>
      </c>
      <c r="D15" s="518"/>
      <c r="E15" s="518"/>
      <c r="F15" s="518"/>
      <c r="G15" s="518"/>
      <c r="H15" s="518"/>
      <c r="I15" s="519"/>
    </row>
    <row r="16" spans="2:9" ht="20.25" customHeight="1" x14ac:dyDescent="0.15">
      <c r="B16" s="118" t="s">
        <v>249</v>
      </c>
      <c r="C16" s="515" t="s">
        <v>387</v>
      </c>
      <c r="D16" s="515"/>
      <c r="E16" s="515"/>
      <c r="F16" s="515"/>
      <c r="G16" s="515"/>
      <c r="H16" s="515"/>
      <c r="I16" s="516"/>
    </row>
    <row r="17" spans="2:9" ht="30.75" customHeight="1" x14ac:dyDescent="0.15">
      <c r="B17" s="118" t="s">
        <v>251</v>
      </c>
      <c r="C17" s="517" t="s">
        <v>56</v>
      </c>
      <c r="D17" s="533"/>
      <c r="E17" s="533"/>
      <c r="F17" s="533"/>
      <c r="G17" s="533"/>
      <c r="H17" s="533"/>
      <c r="I17" s="534"/>
    </row>
    <row r="18" spans="2:9" ht="18" customHeight="1" x14ac:dyDescent="0.15">
      <c r="B18" s="535" t="s">
        <v>253</v>
      </c>
      <c r="C18" s="536" t="s">
        <v>254</v>
      </c>
      <c r="D18" s="536"/>
      <c r="E18" s="536"/>
      <c r="F18" s="537" t="s">
        <v>255</v>
      </c>
      <c r="G18" s="537"/>
      <c r="H18" s="537"/>
      <c r="I18" s="538"/>
    </row>
    <row r="19" spans="2:9" ht="39.75" customHeight="1" x14ac:dyDescent="0.15">
      <c r="B19" s="535"/>
      <c r="C19" s="547" t="s">
        <v>388</v>
      </c>
      <c r="D19" s="528"/>
      <c r="E19" s="529"/>
      <c r="F19" s="515" t="str">
        <f>C19</f>
        <v>Actividades que se ejecutaron para la implementación de los procesos transversales</v>
      </c>
      <c r="G19" s="515"/>
      <c r="H19" s="515"/>
      <c r="I19" s="516"/>
    </row>
    <row r="20" spans="2:9" ht="39.75" customHeight="1" x14ac:dyDescent="0.15">
      <c r="B20" s="118" t="s">
        <v>258</v>
      </c>
      <c r="C20" s="547" t="s">
        <v>389</v>
      </c>
      <c r="D20" s="528"/>
      <c r="E20" s="529"/>
      <c r="F20" s="515" t="str">
        <f>C20</f>
        <v>Cantidad de actividades que se ejecutaron para la implementacion de los procesos transversales</v>
      </c>
      <c r="G20" s="515"/>
      <c r="H20" s="515"/>
      <c r="I20" s="516"/>
    </row>
    <row r="21" spans="2:9" ht="30" customHeight="1" x14ac:dyDescent="0.15">
      <c r="B21" s="118" t="s">
        <v>259</v>
      </c>
      <c r="C21" s="544"/>
      <c r="D21" s="545"/>
      <c r="E21" s="546"/>
      <c r="F21" s="547"/>
      <c r="G21" s="528"/>
      <c r="H21" s="528"/>
      <c r="I21" s="548"/>
    </row>
    <row r="22" spans="2:9" ht="23.25" customHeight="1" x14ac:dyDescent="0.15">
      <c r="B22" s="118" t="s">
        <v>262</v>
      </c>
      <c r="C22" s="527">
        <v>44562</v>
      </c>
      <c r="D22" s="549"/>
      <c r="E22" s="550"/>
      <c r="F22" s="135" t="s">
        <v>263</v>
      </c>
      <c r="G22" s="232">
        <v>8.7999999999999995E-2</v>
      </c>
      <c r="H22" s="135" t="s">
        <v>264</v>
      </c>
      <c r="I22" s="137">
        <v>8.7999999999999995E-2</v>
      </c>
    </row>
    <row r="23" spans="2:9" ht="27" customHeight="1" x14ac:dyDescent="0.15">
      <c r="B23" s="118" t="s">
        <v>265</v>
      </c>
      <c r="C23" s="527">
        <v>44926</v>
      </c>
      <c r="D23" s="528"/>
      <c r="E23" s="529"/>
      <c r="F23" s="135" t="s">
        <v>266</v>
      </c>
      <c r="G23" s="806">
        <v>0.3</v>
      </c>
      <c r="H23" s="807"/>
      <c r="I23" s="808"/>
    </row>
    <row r="24" spans="2:9" ht="30.75" customHeight="1" x14ac:dyDescent="0.15">
      <c r="B24" s="227" t="s">
        <v>267</v>
      </c>
      <c r="C24" s="551" t="s">
        <v>268</v>
      </c>
      <c r="D24" s="552"/>
      <c r="E24" s="553"/>
      <c r="F24" s="228" t="s">
        <v>269</v>
      </c>
      <c r="G24" s="547" t="s">
        <v>46</v>
      </c>
      <c r="H24" s="528"/>
      <c r="I24" s="548"/>
    </row>
    <row r="25" spans="2:9" ht="22.5" customHeight="1" x14ac:dyDescent="0.15">
      <c r="B25" s="511" t="s">
        <v>270</v>
      </c>
      <c r="C25" s="512"/>
      <c r="D25" s="512"/>
      <c r="E25" s="512"/>
      <c r="F25" s="512"/>
      <c r="G25" s="512"/>
      <c r="H25" s="512"/>
      <c r="I25" s="513"/>
    </row>
    <row r="26" spans="2:9" ht="43.5" customHeight="1" x14ac:dyDescent="0.15">
      <c r="B26" s="100" t="s">
        <v>148</v>
      </c>
      <c r="C26" s="138" t="s">
        <v>271</v>
      </c>
      <c r="D26" s="138" t="s">
        <v>272</v>
      </c>
      <c r="E26" s="139" t="s">
        <v>273</v>
      </c>
      <c r="F26" s="138" t="s">
        <v>274</v>
      </c>
      <c r="G26" s="138" t="s">
        <v>275</v>
      </c>
      <c r="H26" s="139" t="s">
        <v>276</v>
      </c>
      <c r="I26" s="140" t="s">
        <v>277</v>
      </c>
    </row>
    <row r="27" spans="2:9" ht="15.5" customHeight="1" x14ac:dyDescent="0.15">
      <c r="B27" s="100" t="s">
        <v>278</v>
      </c>
      <c r="C27" s="170">
        <f>0.91*$G$23</f>
        <v>0.27300000000000002</v>
      </c>
      <c r="D27" s="170">
        <f>0.732*$G$23</f>
        <v>0.21959999999999999</v>
      </c>
      <c r="E27" s="131">
        <f>D27/C27</f>
        <v>0.80439560439560431</v>
      </c>
      <c r="F27" s="811">
        <f>SUM(C27:C38)</f>
        <v>3.0038999999999998</v>
      </c>
      <c r="G27" s="811">
        <f>SUM(D27:D38)</f>
        <v>2.1139985554953773</v>
      </c>
      <c r="H27" s="247">
        <f>+(D27*100%)/$G$23</f>
        <v>0.73199999999999998</v>
      </c>
      <c r="I27" s="814">
        <f>G27+I22</f>
        <v>2.2019985554953774</v>
      </c>
    </row>
    <row r="28" spans="2:9" ht="15.5" customHeight="1" x14ac:dyDescent="0.15">
      <c r="B28" s="100" t="s">
        <v>158</v>
      </c>
      <c r="C28" s="170">
        <f>0.84*$G$23</f>
        <v>0.252</v>
      </c>
      <c r="D28" s="170">
        <f>0.793*$G$23</f>
        <v>0.2379</v>
      </c>
      <c r="E28" s="131">
        <f t="shared" ref="E28:E31" si="0">D28/C28</f>
        <v>0.94404761904761902</v>
      </c>
      <c r="F28" s="812"/>
      <c r="G28" s="812"/>
      <c r="H28" s="247">
        <f>+IF(D28="","",((D28*100%)/$G$23)+H27)</f>
        <v>1.5249999999999999</v>
      </c>
      <c r="I28" s="815"/>
    </row>
    <row r="29" spans="2:9" ht="15.5" customHeight="1" x14ac:dyDescent="0.15">
      <c r="B29" s="100" t="s">
        <v>159</v>
      </c>
      <c r="C29" s="170">
        <f>0.877*$G$23</f>
        <v>0.2631</v>
      </c>
      <c r="D29" s="170">
        <f>0.754*$G$23</f>
        <v>0.22619999999999998</v>
      </c>
      <c r="E29" s="131">
        <f t="shared" si="0"/>
        <v>0.8597491448118586</v>
      </c>
      <c r="F29" s="812"/>
      <c r="G29" s="812"/>
      <c r="H29" s="247">
        <f t="shared" ref="H29:H38" si="1">+IF(D29="","",((D29*100%)/$G$23)+H28)</f>
        <v>2.2789999999999999</v>
      </c>
      <c r="I29" s="815"/>
    </row>
    <row r="30" spans="2:9" ht="15.5" customHeight="1" x14ac:dyDescent="0.15">
      <c r="B30" s="100" t="s">
        <v>160</v>
      </c>
      <c r="C30" s="170">
        <f>0.77*$G$23</f>
        <v>0.23099999999999998</v>
      </c>
      <c r="D30" s="170">
        <f>0.712*$G$23</f>
        <v>0.21359999999999998</v>
      </c>
      <c r="E30" s="131">
        <f t="shared" si="0"/>
        <v>0.92467532467532465</v>
      </c>
      <c r="F30" s="812"/>
      <c r="G30" s="812"/>
      <c r="H30" s="247">
        <f t="shared" si="1"/>
        <v>2.9909999999999997</v>
      </c>
      <c r="I30" s="815"/>
    </row>
    <row r="31" spans="2:9" ht="15.5" customHeight="1" x14ac:dyDescent="0.15">
      <c r="B31" s="100" t="s">
        <v>161</v>
      </c>
      <c r="C31" s="170">
        <f>0.768*$G$23</f>
        <v>0.23039999999999999</v>
      </c>
      <c r="D31" s="170">
        <f>0.768*$G$23</f>
        <v>0.23039999999999999</v>
      </c>
      <c r="E31" s="131">
        <f t="shared" si="0"/>
        <v>1</v>
      </c>
      <c r="F31" s="812"/>
      <c r="G31" s="812"/>
      <c r="H31" s="247">
        <f t="shared" si="1"/>
        <v>3.7589999999999995</v>
      </c>
      <c r="I31" s="815"/>
    </row>
    <row r="32" spans="2:9" ht="15.5" customHeight="1" x14ac:dyDescent="0.15">
      <c r="B32" s="100" t="s">
        <v>162</v>
      </c>
      <c r="C32" s="170">
        <f>0.948*$G$23</f>
        <v>0.28439999999999999</v>
      </c>
      <c r="D32" s="170">
        <f>+C32*97.2%</f>
        <v>0.27643679999999998</v>
      </c>
      <c r="E32" s="131">
        <f>D32/C32</f>
        <v>0.97199999999999998</v>
      </c>
      <c r="F32" s="812"/>
      <c r="G32" s="812"/>
      <c r="H32" s="247">
        <f t="shared" si="1"/>
        <v>4.6804559999999995</v>
      </c>
      <c r="I32" s="815"/>
    </row>
    <row r="33" spans="2:9" ht="19.5" customHeight="1" x14ac:dyDescent="0.15">
      <c r="B33" s="100" t="s">
        <v>163</v>
      </c>
      <c r="C33" s="170">
        <f>0.77*$G$23</f>
        <v>0.23099999999999998</v>
      </c>
      <c r="D33" s="170">
        <f>0.77*$G$23</f>
        <v>0.23099999999999998</v>
      </c>
      <c r="E33" s="131">
        <f t="shared" ref="E33:E38" si="2">D33/C33</f>
        <v>1</v>
      </c>
      <c r="F33" s="812"/>
      <c r="G33" s="812"/>
      <c r="H33" s="247">
        <f t="shared" si="1"/>
        <v>5.4504559999999991</v>
      </c>
      <c r="I33" s="815"/>
    </row>
    <row r="34" spans="2:9" ht="19.5" customHeight="1" x14ac:dyDescent="0.15">
      <c r="B34" s="100" t="s">
        <v>164</v>
      </c>
      <c r="C34" s="170">
        <f>0.787*$G$23</f>
        <v>0.2361</v>
      </c>
      <c r="D34" s="170">
        <f>+C34</f>
        <v>0.2361</v>
      </c>
      <c r="E34" s="131">
        <f t="shared" si="2"/>
        <v>1</v>
      </c>
      <c r="F34" s="812"/>
      <c r="G34" s="812"/>
      <c r="H34" s="247">
        <f t="shared" si="1"/>
        <v>6.237455999999999</v>
      </c>
      <c r="I34" s="815"/>
    </row>
    <row r="35" spans="2:9" ht="19.5" customHeight="1" x14ac:dyDescent="0.15">
      <c r="B35" s="100" t="s">
        <v>165</v>
      </c>
      <c r="C35" s="170">
        <f>0.804*$G$23</f>
        <v>0.2412</v>
      </c>
      <c r="D35" s="170">
        <v>0.24276175549537768</v>
      </c>
      <c r="E35" s="131">
        <f t="shared" si="2"/>
        <v>1.0064749398647499</v>
      </c>
      <c r="F35" s="812"/>
      <c r="G35" s="812"/>
      <c r="H35" s="247">
        <f t="shared" si="1"/>
        <v>7.0466618516512582</v>
      </c>
      <c r="I35" s="815"/>
    </row>
    <row r="36" spans="2:9" ht="19.5" customHeight="1" x14ac:dyDescent="0.15">
      <c r="B36" s="100" t="s">
        <v>166</v>
      </c>
      <c r="C36" s="170">
        <f>0.77*$G$23</f>
        <v>0.23099999999999998</v>
      </c>
      <c r="D36" s="170"/>
      <c r="E36" s="131">
        <f t="shared" si="2"/>
        <v>0</v>
      </c>
      <c r="F36" s="812"/>
      <c r="G36" s="812"/>
      <c r="H36" s="247" t="str">
        <f t="shared" si="1"/>
        <v/>
      </c>
      <c r="I36" s="815"/>
    </row>
    <row r="37" spans="2:9" ht="19.5" customHeight="1" x14ac:dyDescent="0.15">
      <c r="B37" s="100" t="s">
        <v>167</v>
      </c>
      <c r="C37" s="170">
        <f>0.912*$G$23</f>
        <v>0.27360000000000001</v>
      </c>
      <c r="D37" s="170"/>
      <c r="E37" s="131">
        <f t="shared" si="2"/>
        <v>0</v>
      </c>
      <c r="F37" s="812"/>
      <c r="G37" s="812"/>
      <c r="H37" s="247" t="str">
        <f t="shared" si="1"/>
        <v/>
      </c>
      <c r="I37" s="815"/>
    </row>
    <row r="38" spans="2:9" ht="19.5" customHeight="1" x14ac:dyDescent="0.15">
      <c r="B38" s="100" t="s">
        <v>168</v>
      </c>
      <c r="C38" s="170">
        <f>0.857*$G$23</f>
        <v>0.2571</v>
      </c>
      <c r="D38" s="170"/>
      <c r="E38" s="131">
        <f t="shared" si="2"/>
        <v>0</v>
      </c>
      <c r="F38" s="813"/>
      <c r="G38" s="813"/>
      <c r="H38" s="247" t="str">
        <f t="shared" si="1"/>
        <v/>
      </c>
      <c r="I38" s="816"/>
    </row>
    <row r="39" spans="2:9" ht="267.5" customHeight="1" x14ac:dyDescent="0.15">
      <c r="B39" s="119" t="s">
        <v>280</v>
      </c>
      <c r="C39" s="809" t="s">
        <v>390</v>
      </c>
      <c r="D39" s="809"/>
      <c r="E39" s="809"/>
      <c r="F39" s="809"/>
      <c r="G39" s="809"/>
      <c r="H39" s="809"/>
      <c r="I39" s="810"/>
    </row>
    <row r="40" spans="2:9" ht="34.5" customHeight="1" x14ac:dyDescent="0.15">
      <c r="B40" s="557"/>
      <c r="C40" s="558"/>
      <c r="D40" s="558"/>
      <c r="E40" s="558"/>
      <c r="F40" s="558"/>
      <c r="G40" s="558"/>
      <c r="H40" s="558"/>
      <c r="I40" s="559"/>
    </row>
    <row r="41" spans="2:9" ht="34.5" customHeight="1" x14ac:dyDescent="0.15">
      <c r="B41" s="560"/>
      <c r="C41" s="561"/>
      <c r="D41" s="561"/>
      <c r="E41" s="561"/>
      <c r="F41" s="561"/>
      <c r="G41" s="561"/>
      <c r="H41" s="561"/>
      <c r="I41" s="562"/>
    </row>
    <row r="42" spans="2:9" ht="34.5" customHeight="1" x14ac:dyDescent="0.15">
      <c r="B42" s="560"/>
      <c r="C42" s="561"/>
      <c r="D42" s="561"/>
      <c r="E42" s="561"/>
      <c r="F42" s="561"/>
      <c r="G42" s="561"/>
      <c r="H42" s="561"/>
      <c r="I42" s="562"/>
    </row>
    <row r="43" spans="2:9" ht="34.5" customHeight="1" x14ac:dyDescent="0.15">
      <c r="B43" s="560"/>
      <c r="C43" s="561"/>
      <c r="D43" s="561"/>
      <c r="E43" s="561"/>
      <c r="F43" s="561"/>
      <c r="G43" s="561"/>
      <c r="H43" s="561"/>
      <c r="I43" s="562"/>
    </row>
    <row r="44" spans="2:9" ht="34.5" customHeight="1" x14ac:dyDescent="0.15">
      <c r="B44" s="563"/>
      <c r="C44" s="564"/>
      <c r="D44" s="564"/>
      <c r="E44" s="564"/>
      <c r="F44" s="564"/>
      <c r="G44" s="564"/>
      <c r="H44" s="564"/>
      <c r="I44" s="565"/>
    </row>
    <row r="45" spans="2:9" ht="23.25" customHeight="1" x14ac:dyDescent="0.15">
      <c r="B45" s="719" t="s">
        <v>282</v>
      </c>
      <c r="C45" s="773"/>
      <c r="D45" s="774"/>
      <c r="E45" s="774"/>
      <c r="F45" s="774"/>
      <c r="G45" s="774"/>
      <c r="H45" s="155" t="s">
        <v>148</v>
      </c>
      <c r="I45" s="156" t="s">
        <v>310</v>
      </c>
    </row>
    <row r="46" spans="2:9" ht="69.5" customHeight="1" x14ac:dyDescent="0.15">
      <c r="B46" s="720"/>
      <c r="C46" s="778" t="s">
        <v>470</v>
      </c>
      <c r="D46" s="779"/>
      <c r="E46" s="779"/>
      <c r="F46" s="779"/>
      <c r="G46" s="133" t="s">
        <v>391</v>
      </c>
      <c r="H46" s="158">
        <v>1236</v>
      </c>
      <c r="I46" s="158">
        <f>7441+H46</f>
        <v>8677</v>
      </c>
    </row>
    <row r="47" spans="2:9" ht="69.5" customHeight="1" x14ac:dyDescent="0.15">
      <c r="B47" s="720"/>
      <c r="C47" s="780"/>
      <c r="D47" s="781"/>
      <c r="E47" s="781"/>
      <c r="F47" s="781"/>
      <c r="G47" s="133" t="s">
        <v>392</v>
      </c>
      <c r="H47" s="158">
        <v>119</v>
      </c>
      <c r="I47" s="158">
        <f>362+H47</f>
        <v>481</v>
      </c>
    </row>
    <row r="48" spans="2:9" ht="69.5" customHeight="1" x14ac:dyDescent="0.15">
      <c r="B48" s="720"/>
      <c r="C48" s="780"/>
      <c r="D48" s="781"/>
      <c r="E48" s="781"/>
      <c r="F48" s="781"/>
      <c r="G48" s="133" t="s">
        <v>393</v>
      </c>
      <c r="H48" s="157">
        <v>3110</v>
      </c>
      <c r="I48" s="157">
        <f>18428+H48</f>
        <v>21538</v>
      </c>
    </row>
    <row r="49" spans="2:19" ht="54.5" customHeight="1" x14ac:dyDescent="0.15">
      <c r="B49" s="720"/>
      <c r="C49" s="782" t="s">
        <v>471</v>
      </c>
      <c r="D49" s="783"/>
      <c r="E49" s="783"/>
      <c r="F49" s="784"/>
      <c r="G49" s="133" t="s">
        <v>394</v>
      </c>
      <c r="H49" s="291">
        <v>6</v>
      </c>
      <c r="I49" s="291">
        <v>37</v>
      </c>
    </row>
    <row r="50" spans="2:19" ht="54.5" customHeight="1" x14ac:dyDescent="0.15">
      <c r="B50" s="720"/>
      <c r="C50" s="785"/>
      <c r="D50" s="786"/>
      <c r="E50" s="786"/>
      <c r="F50" s="787"/>
      <c r="G50" s="133" t="s">
        <v>395</v>
      </c>
      <c r="H50" s="291">
        <v>5</v>
      </c>
      <c r="I50" s="291">
        <v>29</v>
      </c>
    </row>
    <row r="51" spans="2:19" ht="54.5" customHeight="1" x14ac:dyDescent="0.15">
      <c r="B51" s="720"/>
      <c r="C51" s="785"/>
      <c r="D51" s="786"/>
      <c r="E51" s="786"/>
      <c r="F51" s="787"/>
      <c r="G51" s="133" t="s">
        <v>396</v>
      </c>
      <c r="H51" s="291">
        <v>5</v>
      </c>
      <c r="I51" s="291">
        <v>45</v>
      </c>
    </row>
    <row r="52" spans="2:19" ht="54.5" customHeight="1" x14ac:dyDescent="0.15">
      <c r="B52" s="720"/>
      <c r="C52" s="788"/>
      <c r="D52" s="789"/>
      <c r="E52" s="789"/>
      <c r="F52" s="790"/>
      <c r="G52" s="133" t="s">
        <v>397</v>
      </c>
      <c r="H52" s="291">
        <v>1</v>
      </c>
      <c r="I52" s="291">
        <v>4</v>
      </c>
    </row>
    <row r="53" spans="2:19" ht="171.5" customHeight="1" x14ac:dyDescent="0.15">
      <c r="B53" s="720"/>
      <c r="C53" s="757" t="s">
        <v>472</v>
      </c>
      <c r="D53" s="758"/>
      <c r="E53" s="758"/>
      <c r="F53" s="759"/>
      <c r="G53" s="133" t="s">
        <v>398</v>
      </c>
      <c r="H53" s="291" t="s">
        <v>473</v>
      </c>
      <c r="I53" s="291" t="s">
        <v>474</v>
      </c>
    </row>
    <row r="54" spans="2:19" ht="92.5" customHeight="1" x14ac:dyDescent="0.15">
      <c r="B54" s="720"/>
      <c r="C54" s="760"/>
      <c r="D54" s="761"/>
      <c r="E54" s="761"/>
      <c r="F54" s="762"/>
      <c r="G54" s="133" t="s">
        <v>399</v>
      </c>
      <c r="H54" s="291">
        <v>153</v>
      </c>
      <c r="I54" s="291">
        <f>1164+153</f>
        <v>1317</v>
      </c>
    </row>
    <row r="55" spans="2:19" ht="66" customHeight="1" x14ac:dyDescent="0.15">
      <c r="B55" s="720"/>
      <c r="C55" s="760"/>
      <c r="D55" s="761"/>
      <c r="E55" s="761"/>
      <c r="F55" s="762"/>
      <c r="G55" s="133" t="s">
        <v>400</v>
      </c>
      <c r="H55" s="291">
        <v>5</v>
      </c>
      <c r="I55" s="291">
        <v>49</v>
      </c>
    </row>
    <row r="56" spans="2:19" ht="49.25" customHeight="1" x14ac:dyDescent="0.15">
      <c r="B56" s="720"/>
      <c r="C56" s="763"/>
      <c r="D56" s="764"/>
      <c r="E56" s="764"/>
      <c r="F56" s="765"/>
      <c r="G56" s="133" t="s">
        <v>401</v>
      </c>
      <c r="H56" s="291">
        <v>13</v>
      </c>
      <c r="I56" s="291">
        <v>76</v>
      </c>
    </row>
    <row r="57" spans="2:19" ht="77.25" customHeight="1" x14ac:dyDescent="0.15">
      <c r="B57" s="720"/>
      <c r="C57" s="791" t="s">
        <v>475</v>
      </c>
      <c r="D57" s="792"/>
      <c r="E57" s="792"/>
      <c r="F57" s="793"/>
      <c r="G57" s="133" t="s">
        <v>402</v>
      </c>
      <c r="H57" s="291">
        <v>2</v>
      </c>
      <c r="I57" s="291">
        <v>29</v>
      </c>
    </row>
    <row r="58" spans="2:19" ht="37.5" customHeight="1" x14ac:dyDescent="0.15">
      <c r="B58" s="720"/>
      <c r="C58" s="794"/>
      <c r="D58" s="795"/>
      <c r="E58" s="795"/>
      <c r="F58" s="796"/>
      <c r="G58" s="133" t="s">
        <v>403</v>
      </c>
      <c r="H58" s="291">
        <v>1</v>
      </c>
      <c r="I58" s="291">
        <v>21</v>
      </c>
    </row>
    <row r="59" spans="2:19" ht="33.5" customHeight="1" x14ac:dyDescent="0.15">
      <c r="B59" s="720"/>
      <c r="C59" s="755" t="s">
        <v>476</v>
      </c>
      <c r="D59" s="755"/>
      <c r="E59" s="755"/>
      <c r="F59" s="756"/>
      <c r="G59" s="133" t="s">
        <v>404</v>
      </c>
      <c r="H59" s="176" t="s">
        <v>457</v>
      </c>
      <c r="I59" s="176" t="s">
        <v>455</v>
      </c>
    </row>
    <row r="60" spans="2:19" s="104" customFormat="1" ht="33.5" customHeight="1" x14ac:dyDescent="0.2">
      <c r="B60" s="720"/>
      <c r="C60" s="753"/>
      <c r="D60" s="753"/>
      <c r="E60" s="753"/>
      <c r="F60" s="754"/>
      <c r="G60" s="133" t="s">
        <v>405</v>
      </c>
      <c r="H60" s="176">
        <v>5</v>
      </c>
      <c r="I60" s="293" t="s">
        <v>456</v>
      </c>
      <c r="J60" s="159"/>
      <c r="K60" s="159"/>
      <c r="L60" s="159"/>
      <c r="M60" s="159"/>
      <c r="N60" s="159"/>
      <c r="O60" s="159"/>
      <c r="P60" s="159"/>
      <c r="Q60" s="159"/>
      <c r="R60" s="159"/>
      <c r="S60" s="159"/>
    </row>
    <row r="61" spans="2:19" ht="33.5" customHeight="1" x14ac:dyDescent="0.15">
      <c r="B61" s="720"/>
      <c r="C61" s="753"/>
      <c r="D61" s="753"/>
      <c r="E61" s="753"/>
      <c r="F61" s="754"/>
      <c r="G61" s="133" t="s">
        <v>406</v>
      </c>
      <c r="H61" s="176">
        <v>834</v>
      </c>
      <c r="I61" s="176"/>
    </row>
    <row r="62" spans="2:19" ht="49.5" customHeight="1" x14ac:dyDescent="0.15">
      <c r="B62" s="720"/>
      <c r="C62" s="752" t="s">
        <v>477</v>
      </c>
      <c r="D62" s="753"/>
      <c r="E62" s="753"/>
      <c r="F62" s="754"/>
      <c r="G62" s="133" t="s">
        <v>407</v>
      </c>
      <c r="H62" s="176">
        <v>659</v>
      </c>
      <c r="I62" s="176">
        <v>4394</v>
      </c>
    </row>
    <row r="63" spans="2:19" ht="145.25" customHeight="1" x14ac:dyDescent="0.15">
      <c r="B63" s="720"/>
      <c r="C63" s="748" t="s">
        <v>478</v>
      </c>
      <c r="D63" s="749"/>
      <c r="E63" s="749"/>
      <c r="F63" s="766"/>
      <c r="G63" s="133" t="s">
        <v>408</v>
      </c>
      <c r="H63" s="163" t="s">
        <v>480</v>
      </c>
      <c r="I63" s="164">
        <v>14</v>
      </c>
      <c r="K63" s="748"/>
      <c r="L63" s="749"/>
      <c r="M63" s="749"/>
      <c r="N63" s="749"/>
    </row>
    <row r="64" spans="2:19" ht="39" customHeight="1" x14ac:dyDescent="0.15">
      <c r="B64" s="720"/>
      <c r="C64" s="767"/>
      <c r="D64" s="768"/>
      <c r="E64" s="768"/>
      <c r="F64" s="769"/>
      <c r="G64" s="133" t="s">
        <v>409</v>
      </c>
      <c r="H64" s="163">
        <v>1</v>
      </c>
      <c r="I64" s="164">
        <v>147</v>
      </c>
      <c r="K64" s="750"/>
      <c r="L64" s="751"/>
      <c r="M64" s="751"/>
      <c r="N64" s="751"/>
    </row>
    <row r="65" spans="2:14" ht="52.75" customHeight="1" x14ac:dyDescent="0.15">
      <c r="B65" s="721"/>
      <c r="C65" s="770"/>
      <c r="D65" s="771"/>
      <c r="E65" s="771"/>
      <c r="F65" s="772"/>
      <c r="G65" s="133" t="s">
        <v>410</v>
      </c>
      <c r="H65" s="163">
        <v>3624</v>
      </c>
      <c r="I65" s="294">
        <v>4611</v>
      </c>
      <c r="K65" s="750"/>
      <c r="L65" s="751"/>
      <c r="M65" s="751"/>
      <c r="N65" s="751"/>
    </row>
    <row r="66" spans="2:14" ht="60.75" customHeight="1" x14ac:dyDescent="0.15">
      <c r="B66" s="175" t="s">
        <v>283</v>
      </c>
      <c r="C66" s="775" t="s">
        <v>46</v>
      </c>
      <c r="D66" s="776"/>
      <c r="E66" s="776"/>
      <c r="F66" s="776"/>
      <c r="G66" s="776"/>
      <c r="H66" s="776"/>
      <c r="I66" s="777"/>
    </row>
    <row r="67" spans="2:14" ht="79.5" customHeight="1" x14ac:dyDescent="0.15">
      <c r="B67" s="120" t="s">
        <v>284</v>
      </c>
      <c r="C67" s="775" t="s">
        <v>411</v>
      </c>
      <c r="D67" s="776"/>
      <c r="E67" s="776"/>
      <c r="F67" s="776"/>
      <c r="G67" s="776"/>
      <c r="H67" s="776"/>
      <c r="I67" s="777"/>
    </row>
    <row r="68" spans="2:14" ht="22.5" customHeight="1" x14ac:dyDescent="0.15">
      <c r="B68" s="511" t="s">
        <v>286</v>
      </c>
      <c r="C68" s="512"/>
      <c r="D68" s="512"/>
      <c r="E68" s="512"/>
      <c r="F68" s="512"/>
      <c r="G68" s="512"/>
      <c r="H68" s="512"/>
      <c r="I68" s="513"/>
    </row>
    <row r="69" spans="2:14" ht="22.5" customHeight="1" x14ac:dyDescent="0.15">
      <c r="B69" s="579" t="s">
        <v>287</v>
      </c>
      <c r="C69" s="141" t="s">
        <v>288</v>
      </c>
      <c r="D69" s="581" t="s">
        <v>289</v>
      </c>
      <c r="E69" s="581"/>
      <c r="F69" s="581"/>
      <c r="G69" s="581" t="s">
        <v>290</v>
      </c>
      <c r="H69" s="581"/>
      <c r="I69" s="582"/>
    </row>
    <row r="70" spans="2:14" ht="30.75" customHeight="1" x14ac:dyDescent="0.15">
      <c r="B70" s="580"/>
      <c r="C70" s="142"/>
      <c r="D70" s="627"/>
      <c r="E70" s="627"/>
      <c r="F70" s="627"/>
      <c r="G70" s="627"/>
      <c r="H70" s="627"/>
      <c r="I70" s="628"/>
    </row>
    <row r="71" spans="2:14" ht="32.25" customHeight="1" x14ac:dyDescent="0.15">
      <c r="B71" s="121" t="s">
        <v>291</v>
      </c>
      <c r="C71" s="797" t="s">
        <v>479</v>
      </c>
      <c r="D71" s="797"/>
      <c r="E71" s="797"/>
      <c r="F71" s="797"/>
      <c r="G71" s="797"/>
      <c r="H71" s="797"/>
      <c r="I71" s="798"/>
    </row>
    <row r="72" spans="2:14" ht="28.5" customHeight="1" x14ac:dyDescent="0.15">
      <c r="B72" s="122" t="s">
        <v>293</v>
      </c>
      <c r="C72" s="797" t="s">
        <v>479</v>
      </c>
      <c r="D72" s="797"/>
      <c r="E72" s="797"/>
      <c r="F72" s="797"/>
      <c r="G72" s="797"/>
      <c r="H72" s="797"/>
      <c r="I72" s="798"/>
    </row>
    <row r="73" spans="2:14" ht="30" customHeight="1" x14ac:dyDescent="0.15">
      <c r="B73" s="120" t="s">
        <v>294</v>
      </c>
      <c r="C73" s="627" t="s">
        <v>295</v>
      </c>
      <c r="D73" s="627"/>
      <c r="E73" s="627"/>
      <c r="F73" s="627"/>
      <c r="G73" s="627"/>
      <c r="H73" s="627"/>
      <c r="I73" s="628"/>
    </row>
    <row r="74" spans="2:14" ht="31.5" customHeight="1" thickBot="1" x14ac:dyDescent="0.2">
      <c r="B74" s="116" t="s">
        <v>296</v>
      </c>
      <c r="C74" s="629" t="s">
        <v>297</v>
      </c>
      <c r="D74" s="630"/>
      <c r="E74" s="630"/>
      <c r="F74" s="630"/>
      <c r="G74" s="630"/>
      <c r="H74" s="630"/>
      <c r="I74" s="631"/>
    </row>
    <row r="75" spans="2:14" ht="13.25" customHeight="1" x14ac:dyDescent="0.15">
      <c r="B75" s="109"/>
      <c r="C75" s="110"/>
      <c r="D75" s="110"/>
      <c r="E75" s="111"/>
      <c r="F75" s="111"/>
      <c r="G75" s="117"/>
      <c r="H75" s="113"/>
      <c r="I75" s="110"/>
    </row>
    <row r="76" spans="2:14" ht="13.25" customHeight="1" x14ac:dyDescent="0.15">
      <c r="B76" s="803"/>
      <c r="C76" s="803"/>
      <c r="D76" s="803"/>
      <c r="E76" s="803"/>
      <c r="F76" s="803"/>
      <c r="G76" s="803"/>
      <c r="H76" s="803"/>
      <c r="I76" s="803"/>
    </row>
    <row r="77" spans="2:14" ht="13.25" customHeight="1" x14ac:dyDescent="0.15">
      <c r="B77" s="803"/>
      <c r="C77" s="803"/>
      <c r="D77" s="803"/>
      <c r="E77" s="803"/>
      <c r="F77" s="803"/>
      <c r="G77" s="803"/>
      <c r="H77" s="803"/>
      <c r="I77" s="803"/>
    </row>
    <row r="78" spans="2:14" ht="13.25" customHeight="1" x14ac:dyDescent="0.15">
      <c r="B78" s="803"/>
      <c r="C78" s="803"/>
      <c r="D78" s="803"/>
      <c r="E78" s="803"/>
      <c r="F78" s="803"/>
      <c r="G78" s="803"/>
      <c r="H78" s="803"/>
      <c r="I78" s="803"/>
    </row>
    <row r="79" spans="2:14" ht="13.25" customHeight="1" x14ac:dyDescent="0.15">
      <c r="B79" s="109"/>
      <c r="C79" s="110"/>
      <c r="D79" s="110"/>
      <c r="E79" s="111"/>
      <c r="F79" s="111"/>
      <c r="G79" s="117"/>
      <c r="H79" s="113"/>
      <c r="I79" s="110"/>
    </row>
    <row r="80" spans="2:14" ht="25.5" customHeight="1" x14ac:dyDescent="0.15">
      <c r="B80" s="109"/>
      <c r="C80" s="110"/>
      <c r="D80" s="110"/>
      <c r="E80" s="111"/>
      <c r="F80" s="111"/>
      <c r="G80" s="117"/>
      <c r="H80" s="113"/>
      <c r="I80" s="110"/>
    </row>
    <row r="81" ht="13.25" customHeight="1" x14ac:dyDescent="0.15"/>
    <row r="82" ht="13.25" customHeight="1" x14ac:dyDescent="0.15"/>
    <row r="83" ht="13.25" customHeight="1" x14ac:dyDescent="0.15"/>
    <row r="84" ht="13.25" customHeight="1" x14ac:dyDescent="0.15"/>
    <row r="85" ht="13.25" customHeight="1" x14ac:dyDescent="0.15"/>
    <row r="86" ht="13.25" customHeight="1" x14ac:dyDescent="0.15"/>
    <row r="87" ht="13.25" customHeight="1" x14ac:dyDescent="0.15"/>
    <row r="88" ht="13.25" customHeight="1" x14ac:dyDescent="0.15"/>
    <row r="89" ht="13.25" customHeight="1" x14ac:dyDescent="0.15"/>
    <row r="90" ht="13.25" customHeight="1" x14ac:dyDescent="0.15"/>
    <row r="91" ht="13.25" customHeight="1" x14ac:dyDescent="0.15"/>
    <row r="109" spans="6:9" ht="12.75" customHeight="1" x14ac:dyDescent="0.15">
      <c r="F109" s="804"/>
      <c r="G109" s="805"/>
      <c r="H109" s="805"/>
      <c r="I109" s="805"/>
    </row>
    <row r="110" spans="6:9" ht="12.75" customHeight="1" x14ac:dyDescent="0.15">
      <c r="F110" s="799"/>
      <c r="G110" s="800"/>
      <c r="H110" s="800"/>
      <c r="I110" s="800"/>
    </row>
    <row r="111" spans="6:9" ht="12.75" customHeight="1" x14ac:dyDescent="0.15">
      <c r="F111" s="799"/>
      <c r="G111" s="800"/>
      <c r="H111" s="800"/>
      <c r="I111" s="800"/>
    </row>
    <row r="112" spans="6:9" ht="12.75" customHeight="1" x14ac:dyDescent="0.15">
      <c r="F112" s="799"/>
      <c r="G112" s="800"/>
      <c r="H112" s="800"/>
      <c r="I112" s="800"/>
    </row>
    <row r="113" spans="6:9" ht="12.75" customHeight="1" x14ac:dyDescent="0.15">
      <c r="F113" s="801"/>
      <c r="G113" s="802"/>
      <c r="H113" s="802"/>
      <c r="I113" s="802"/>
    </row>
  </sheetData>
  <mergeCells count="76">
    <mergeCell ref="C39:I39"/>
    <mergeCell ref="B40:I44"/>
    <mergeCell ref="C24:E24"/>
    <mergeCell ref="G24:I24"/>
    <mergeCell ref="B25:I25"/>
    <mergeCell ref="F27:F38"/>
    <mergeCell ref="G27:G38"/>
    <mergeCell ref="I27:I38"/>
    <mergeCell ref="B18:B19"/>
    <mergeCell ref="C18:E18"/>
    <mergeCell ref="F18:I18"/>
    <mergeCell ref="C19:E19"/>
    <mergeCell ref="F19:I19"/>
    <mergeCell ref="C23:E23"/>
    <mergeCell ref="G23:I23"/>
    <mergeCell ref="C16:I16"/>
    <mergeCell ref="C17:I17"/>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 ref="F110:I110"/>
    <mergeCell ref="F111:I111"/>
    <mergeCell ref="F112:I112"/>
    <mergeCell ref="F113:I113"/>
    <mergeCell ref="B76:I78"/>
    <mergeCell ref="F109:I109"/>
    <mergeCell ref="C74:I74"/>
    <mergeCell ref="B69:B70"/>
    <mergeCell ref="D69:F69"/>
    <mergeCell ref="G69:I69"/>
    <mergeCell ref="D70:F70"/>
    <mergeCell ref="G70:I70"/>
    <mergeCell ref="C71:I71"/>
    <mergeCell ref="C72:I72"/>
    <mergeCell ref="C53:F56"/>
    <mergeCell ref="C63:F65"/>
    <mergeCell ref="C45:G45"/>
    <mergeCell ref="B68:I68"/>
    <mergeCell ref="C73:I73"/>
    <mergeCell ref="C67:I67"/>
    <mergeCell ref="C66:I66"/>
    <mergeCell ref="B45:B65"/>
    <mergeCell ref="C46:F48"/>
    <mergeCell ref="C49:F52"/>
    <mergeCell ref="C57:F58"/>
    <mergeCell ref="K63:N63"/>
    <mergeCell ref="K64:N64"/>
    <mergeCell ref="K65:N65"/>
    <mergeCell ref="C62:F62"/>
    <mergeCell ref="C59:F61"/>
  </mergeCells>
  <dataValidations disablePrompts="1" count="2">
    <dataValidation type="list" allowBlank="1" showInputMessage="1" showErrorMessage="1" sqref="H12:I12" xr:uid="{8D193C82-F006-4CC4-8B72-BCC1C0CE602D}">
      <formula1>#REF!</formula1>
    </dataValidation>
    <dataValidation type="list" allowBlank="1" showInputMessage="1" showErrorMessage="1" sqref="C24:E24 C7 I7 H13:I13 C9:F9" xr:uid="{26A62406-2974-4E6B-B155-AFC13B024F6A}">
      <formula1>#REF!</formula1>
    </dataValidation>
  </dataValidations>
  <pageMargins left="0.7" right="0.7" top="0.75" bottom="0.75" header="0.3" footer="0.3"/>
  <pageSetup scale="25"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664237-BA00-4E19-9D4C-97CF951D95E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F0EA1A3-3C27-480B-B2AD-449A025DA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Deisi Pascagaza Calero</cp:lastModifiedBy>
  <cp:revision/>
  <dcterms:created xsi:type="dcterms:W3CDTF">2010-03-25T16:40:43Z</dcterms:created>
  <dcterms:modified xsi:type="dcterms:W3CDTF">2022-09-20T14:43:59Z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