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https://idpyba-my.sharepoint.com/personal/d_jaimes_animalesbog_gov_co/Documents/SEGUIMIENTO/2022/9. SEPTIEMBRE/"/>
    </mc:Choice>
  </mc:AlternateContent>
  <xr:revisionPtr revIDLastSave="191" documentId="13_ncr:1_{FC560815-0A79-49A8-9F34-2ACF4375DA55}" xr6:coauthVersionLast="47" xr6:coauthVersionMax="47" xr10:uidLastSave="{F9178D8A-4611-484D-BF27-B721A4559A07}"/>
  <bookViews>
    <workbookView xWindow="-108" yWindow="-108" windowWidth="23256" windowHeight="12456" tabRatio="743" firstSheet="3" activeTab="8"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2'!$A$1:$I$61</definedName>
    <definedName name="_xlnm.Print_Area" localSheetId="5">'META 3'!$A$1:$I$54</definedName>
    <definedName name="_xlnm.Print_Area" localSheetId="6">'META 4'!$A$1:$I$56</definedName>
    <definedName name="_xlnm.Print_Area" localSheetId="7">'META 5'!$A$1:$I$66</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6" i="91" l="1"/>
  <c r="I64" i="91" l="1"/>
  <c r="I63" i="91"/>
  <c r="I48" i="91" l="1"/>
  <c r="D34" i="92" l="1"/>
  <c r="D35" i="92"/>
  <c r="I49" i="92" l="1"/>
  <c r="I48" i="92"/>
  <c r="I47" i="92"/>
  <c r="D35" i="90" l="1"/>
  <c r="I54" i="90"/>
  <c r="H54" i="90"/>
  <c r="I52" i="90"/>
  <c r="H52" i="90"/>
  <c r="I51" i="90"/>
  <c r="D35" i="93" l="1"/>
  <c r="D34" i="87" l="1"/>
  <c r="I52" i="87"/>
  <c r="I51" i="87"/>
  <c r="I50" i="87"/>
  <c r="I49" i="87"/>
  <c r="I48" i="87"/>
  <c r="I47" i="87"/>
  <c r="I46" i="87"/>
  <c r="D35" i="87" l="1"/>
  <c r="D34" i="90" l="1"/>
  <c r="D34" i="95"/>
  <c r="D34" i="93" l="1"/>
  <c r="D33" i="91" l="1"/>
  <c r="E38" i="92" l="1"/>
  <c r="E37" i="92"/>
  <c r="E36" i="92"/>
  <c r="E35" i="92"/>
  <c r="E34" i="92"/>
  <c r="E33" i="92"/>
  <c r="E32" i="92"/>
  <c r="E31" i="92"/>
  <c r="E30" i="92"/>
  <c r="E29" i="92"/>
  <c r="E28" i="92"/>
  <c r="E27" i="92"/>
  <c r="D33" i="92"/>
  <c r="D32" i="92"/>
  <c r="D33" i="87"/>
  <c r="D33" i="90" l="1"/>
  <c r="D32" i="90"/>
  <c r="E38" i="93" l="1"/>
  <c r="C38" i="93"/>
  <c r="C37" i="93"/>
  <c r="E37" i="93" s="1"/>
  <c r="C36" i="93"/>
  <c r="E36" i="93" s="1"/>
  <c r="C35" i="93"/>
  <c r="E35" i="93" s="1"/>
  <c r="E34" i="93"/>
  <c r="C34" i="93"/>
  <c r="C33" i="93"/>
  <c r="E33" i="93" s="1"/>
  <c r="E32" i="93"/>
  <c r="C32" i="93"/>
  <c r="D31" i="93"/>
  <c r="E31" i="93" s="1"/>
  <c r="C31" i="93"/>
  <c r="C30" i="93"/>
  <c r="E30" i="93" s="1"/>
  <c r="D29" i="93"/>
  <c r="E29" i="93" s="1"/>
  <c r="C29" i="93"/>
  <c r="D28" i="93"/>
  <c r="E28" i="93" s="1"/>
  <c r="C28" i="93"/>
  <c r="D27" i="93"/>
  <c r="E27" i="93" s="1"/>
  <c r="C27" i="93"/>
  <c r="D32" i="87" l="1"/>
  <c r="D31" i="90"/>
  <c r="D31" i="91"/>
  <c r="D31" i="92"/>
  <c r="D31" i="80"/>
  <c r="D31" i="87" l="1"/>
  <c r="C34" i="92"/>
  <c r="C35" i="92"/>
  <c r="C36" i="92"/>
  <c r="C37" i="92"/>
  <c r="C38" i="92"/>
  <c r="C33" i="92"/>
  <c r="C32" i="92"/>
  <c r="C31" i="92"/>
  <c r="D30" i="92"/>
  <c r="C30" i="92"/>
  <c r="D29" i="92"/>
  <c r="C29" i="92"/>
  <c r="C27" i="92"/>
  <c r="D28" i="92"/>
  <c r="C28" i="92"/>
  <c r="D27" i="92"/>
  <c r="C38" i="91"/>
  <c r="C37" i="91"/>
  <c r="C36" i="91"/>
  <c r="C35" i="91"/>
  <c r="C34" i="91"/>
  <c r="D34" i="91" s="1"/>
  <c r="C33" i="91"/>
  <c r="C32" i="91"/>
  <c r="D32" i="91" s="1"/>
  <c r="C31" i="91"/>
  <c r="D30" i="91"/>
  <c r="C30" i="91"/>
  <c r="D29" i="91"/>
  <c r="C29" i="91"/>
  <c r="D28" i="91"/>
  <c r="C28" i="91"/>
  <c r="D27" i="91"/>
  <c r="C38" i="90"/>
  <c r="C37" i="90"/>
  <c r="C36" i="90"/>
  <c r="C35" i="90"/>
  <c r="C34" i="90"/>
  <c r="C33" i="90"/>
  <c r="C32" i="90"/>
  <c r="C31" i="90"/>
  <c r="D30" i="90"/>
  <c r="C30" i="90"/>
  <c r="D29" i="90"/>
  <c r="C29" i="90"/>
  <c r="D28" i="90"/>
  <c r="C28" i="90"/>
  <c r="D27" i="90"/>
  <c r="C27" i="90"/>
  <c r="C38" i="95"/>
  <c r="C37" i="95"/>
  <c r="C36" i="95"/>
  <c r="C35" i="95"/>
  <c r="C34" i="95"/>
  <c r="D30" i="87"/>
  <c r="D29" i="87"/>
  <c r="D28" i="87"/>
  <c r="D27" i="87"/>
  <c r="C38" i="87"/>
  <c r="C37" i="87"/>
  <c r="C36" i="87"/>
  <c r="C35" i="87"/>
  <c r="C34" i="87"/>
  <c r="C33" i="87"/>
  <c r="C32" i="87"/>
  <c r="C31" i="87"/>
  <c r="C30" i="87"/>
  <c r="C29" i="87"/>
  <c r="C28" i="87"/>
  <c r="C27" i="87"/>
  <c r="C27" i="91"/>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7" i="91"/>
  <c r="E36" i="91"/>
  <c r="E35" i="91"/>
  <c r="E34" i="91"/>
  <c r="E33" i="91"/>
  <c r="E32" i="91"/>
  <c r="E31" i="91"/>
  <c r="E30" i="91"/>
  <c r="E29" i="91"/>
  <c r="E28" i="91"/>
  <c r="E27" i="91"/>
  <c r="E38" i="95"/>
  <c r="E37" i="95"/>
  <c r="E36" i="95"/>
  <c r="E35" i="95"/>
  <c r="E34" i="95"/>
  <c r="E33" i="95"/>
  <c r="E32" i="95"/>
  <c r="E31" i="95"/>
  <c r="E30" i="95"/>
  <c r="E29" i="95"/>
  <c r="E28" i="95"/>
  <c r="E27" i="95"/>
  <c r="D30" i="80" l="1"/>
  <c r="D29" i="80" l="1"/>
  <c r="G27" i="80" s="1"/>
  <c r="C38" i="80" l="1"/>
  <c r="C37" i="80"/>
  <c r="C36" i="80"/>
  <c r="C35" i="80"/>
  <c r="C34" i="80"/>
  <c r="C33" i="80"/>
  <c r="C32" i="80"/>
  <c r="C31" i="80"/>
  <c r="C30" i="80"/>
  <c r="C29" i="80"/>
  <c r="F27" i="80" l="1"/>
  <c r="E31" i="80" l="1"/>
  <c r="E34" i="80"/>
  <c r="E35" i="80"/>
  <c r="H27" i="80"/>
  <c r="H28" i="80" s="1"/>
  <c r="H29" i="80" s="1"/>
  <c r="E37" i="80"/>
  <c r="E36" i="80"/>
  <c r="E33" i="80"/>
  <c r="E32" i="80"/>
  <c r="E29" i="80"/>
  <c r="E38" i="80"/>
  <c r="I27" i="80" l="1"/>
  <c r="E30" i="80"/>
  <c r="H30" i="80"/>
  <c r="H31" i="80" s="1"/>
  <c r="H32" i="80" s="1"/>
  <c r="H33" i="80" s="1"/>
  <c r="H34" i="80" s="1"/>
  <c r="H35" i="80" s="1"/>
  <c r="H36" i="80" s="1"/>
  <c r="H37" i="80" s="1"/>
  <c r="H38" i="80" s="1"/>
  <c r="E27" i="80"/>
  <c r="E28" i="80"/>
  <c r="F27" i="93" l="1"/>
  <c r="H27" i="91" l="1"/>
  <c r="H27" i="95"/>
  <c r="H28" i="95" s="1"/>
  <c r="H29" i="95" s="1"/>
  <c r="H30" i="95" s="1"/>
  <c r="H31" i="95" s="1"/>
  <c r="H32" i="95" s="1"/>
  <c r="H33" i="95" s="1"/>
  <c r="H34" i="95" s="1"/>
  <c r="H35" i="95" s="1"/>
  <c r="H36" i="95" s="1"/>
  <c r="H37" i="95" s="1"/>
  <c r="H38" i="95" s="1"/>
  <c r="F27" i="95"/>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s="1"/>
  <c r="I19" i="5"/>
  <c r="I17" i="5"/>
  <c r="AC17" i="5" s="1"/>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G27" i="95"/>
  <c r="I27" i="95" s="1"/>
  <c r="G27" i="92"/>
  <c r="I27" i="92" s="1"/>
  <c r="L27" i="66" l="1"/>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H37" i="91" s="1"/>
  <c r="H38" i="91" s="1"/>
  <c r="F27" i="91"/>
  <c r="G27" i="91"/>
  <c r="I27" i="91" s="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H38"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<sst xmlns="http://schemas.openxmlformats.org/spreadsheetml/2006/main" count="1327" uniqueCount="486">
  <si>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</si>
  <si>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</si>
  <si>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</si>
  <si>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</si>
  <si>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</si>
  <si>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</si>
  <si>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</si>
  <si>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</si>
  <si>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</si>
  <si>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</si>
  <si>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</si>
  <si>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</si>
  <si>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</si>
  <si>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</si>
  <si>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</si>
  <si>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</si>
  <si>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</si>
  <si>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</si>
  <si>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</si>
  <si>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</si>
  <si>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</si>
  <si>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</si>
  <si>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</si>
  <si>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</si>
  <si>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</si>
  <si>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</si>
  <si>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</si>
  <si>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</si>
  <si>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</si>
  <si>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</si>
  <si>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</si>
  <si>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</si>
  <si>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</si>
  <si>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</si>
  <si>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</si>
  <si>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</si>
  <si>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</si>
  <si>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</si>
  <si>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</si>
  <si>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</si>
  <si>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</si>
  <si>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</si>
  <si>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</si>
  <si>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</si>
  <si>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</si>
  <si>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</si>
  <si>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</si>
  <si>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</si>
  <si>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</si>
  <si>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</si>
  <si>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</si>
  <si>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</si>
  <si>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</si>
  <si>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</si>
  <si>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</si>
  <si>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</si>
  <si>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</si>
  <si>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</si>
  <si>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</si>
  <si>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</si>
  <si>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</si>
  <si>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</si>
  <si>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</si>
  <si>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</si>
  <si>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</si>
  <si>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</si>
  <si>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</si>
  <si>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</si>
  <si>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</si>
  <si>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</si>
  <si>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</si>
  <si>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</si>
  <si>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</si>
  <si>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</si>
  <si>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</si>
  <si>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</si>
  <si>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</si>
  <si>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</si>
  <si>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</si>
  <si>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</si>
  <si>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</si>
  <si>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</si>
  <si>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</si>
  <si>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</si>
  <si>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</si>
  <si>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</si>
  <si>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</si>
  <si>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</si>
  <si>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</si>
  <si>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</si>
  <si>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</si>
  <si>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</si>
  <si>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</si>
  <si>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</si>
  <si>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</si>
  <si>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</si>
  <si>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</si>
  <si>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</si>
  <si>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</si>
  <si>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</si>
  <si>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</si>
  <si>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</si>
  <si>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</si>
  <si>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</si>
  <si>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</si>
  <si>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</si>
  <si>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</si>
  <si>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</si>
  <si>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</si>
  <si>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</si>
  <si>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</si>
  <si>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</si>
  <si>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</si>
  <si>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</si>
  <si>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</si>
  <si>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</si>
  <si>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</si>
  <si>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</si>
  <si>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</si>
  <si>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</si>
  <si>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</si>
  <si>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</si>
  <si>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</si>
  <si>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</si>
  <si>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</si>
  <si>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</si>
  <si>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</si>
  <si>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</si>
  <si>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</si>
  <si>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</si>
  <si>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</si>
  <si>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</si>
  <si>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</si>
  <si>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</si>
  <si>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</si>
  <si>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</si>
  <si>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</si>
  <si>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</si>
  <si>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</si>
  <si>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</si>
  <si>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</si>
  <si>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</si>
  <si>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</si>
  <si>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</si>
  <si>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</si>
  <si>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</si>
  <si>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</si>
  <si>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</si>
  <si>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</si>
  <si>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</si>
  <si>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</si>
  <si>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</si>
  <si>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</si>
  <si>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</si>
  <si>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</si>
  <si>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</si>
  <si>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</si>
  <si>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</si>
  <si>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</si>
  <si>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</si>
  <si>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</si>
  <si>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</si>
  <si>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</si>
  <si>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</si>
  <si>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</si>
  <si>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</si>
  <si>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</si>
  <si>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</si>
  <si>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</si>
  <si>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</si>
  <si>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</si>
  <si>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</si>
  <si>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</si>
  <si>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</si>
  <si>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</si>
  <si>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</si>
  <si>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</si>
  <si>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</si>
  <si>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</si>
  <si>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</si>
  <si>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</si>
  <si>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</si>
  <si>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</si>
  <si>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</si>
  <si>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</si>
  <si>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</si>
  <si>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</si>
  <si>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</si>
  <si>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</si>
  <si>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</si>
  <si>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</si>
  <si>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</si>
  <si>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</si>
  <si>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</si>
  <si>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</si>
  <si>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</si>
  <si>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</si>
  <si>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</si>
  <si>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</si>
  <si>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</si>
  <si>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</si>
  <si>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</si>
  <si>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</si>
  <si>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</si>
  <si>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</si>
  <si>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</si>
  <si>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</si>
  <si>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</si>
  <si>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</si>
  <si>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</si>
  <si>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</si>
  <si>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</si>
  <si>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</si>
  <si>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</si>
  <si>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</si>
  <si>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</si>
  <si>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</si>
  <si>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</si>
  <si>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</si>
  <si>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</si>
  <si>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</si>
  <si>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</si>
  <si>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</si>
  <si>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</si>
  <si>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</si>
  <si>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Realizar diagnóstico e implementación de cargas laborales del Instituto Distrital de Protección y Bienestar Animal</t>
  </si>
  <si>
    <t>Meta/Actividad con territorialización</t>
  </si>
  <si>
    <t>Dependencia responsable</t>
  </si>
  <si>
    <t>Subdirección de Gestión Corporativa</t>
  </si>
  <si>
    <t>Indicador PMR</t>
  </si>
  <si>
    <t>Nombre Proyecto</t>
  </si>
  <si>
    <t>Fortalecimiento institucional de la estructura organizacional del IDPYBA Bogotá</t>
  </si>
  <si>
    <t>Código del Proyecto</t>
  </si>
  <si>
    <t>Código del proceso</t>
  </si>
  <si>
    <t>PE03</t>
  </si>
  <si>
    <t>Objetivo estratégico</t>
  </si>
  <si>
    <t>Afianzar la estructura organizacional productiva e integra, a través del desarrollo de capacidades del talento humano y un ambiente cordial</t>
  </si>
  <si>
    <t>Meta Sectorial</t>
  </si>
  <si>
    <t>Realizar el fortalecimiento institucional de la estructura orgánica y funcional de la estructura orgánica y funcional de la SDA, IDGER, JBB, E  IDPYBA</t>
  </si>
  <si>
    <t>Nombre del indicador</t>
  </si>
  <si>
    <t>Diagnósticos Desarrollados</t>
  </si>
  <si>
    <t>Tipología</t>
  </si>
  <si>
    <t>Fecha de programación</t>
  </si>
  <si>
    <t>1 de enero de 2022</t>
  </si>
  <si>
    <t>Tipo anualización</t>
  </si>
  <si>
    <t>Objetivo y descripción del Indicador</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</si>
  <si>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</si>
  <si>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Fuente u origen de Datos</t>
  </si>
  <si>
    <t>PLAN DE ACCIÓN</t>
  </si>
  <si>
    <t>Fórmula de Cálculo</t>
  </si>
  <si>
    <t>Actividades ejecutadas para la realización de Diagnóstico / actividades programadas para la realización de Diagnóstico</t>
  </si>
  <si>
    <t>Unidad de medida del indicador</t>
  </si>
  <si>
    <t>CANTIDAD</t>
  </si>
  <si>
    <t xml:space="preserve">Nombre de las Variables </t>
  </si>
  <si>
    <t>Magnitud Ejecutada</t>
  </si>
  <si>
    <t xml:space="preserve">Magnitud programada </t>
  </si>
  <si>
    <t>Actividades ejecutadas para la realización de Diagnóstico</t>
  </si>
  <si>
    <t xml:space="preserve"> Actividades programadas para la realización de Diagnóstico</t>
  </si>
  <si>
    <t>Unidad de medida (de la variable)</t>
  </si>
  <si>
    <t>Descripción de la variable</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</si>
  <si>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</si>
  <si>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</si>
  <si>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Inicio de la Serie</t>
  </si>
  <si>
    <t>Línea base</t>
  </si>
  <si>
    <t>Acumulado cuatrienio</t>
  </si>
  <si>
    <t>Fin de la Serie</t>
  </si>
  <si>
    <t>Valor de la Meta</t>
  </si>
  <si>
    <t>Frecuencia del reporte</t>
  </si>
  <si>
    <t>MENSUAL</t>
  </si>
  <si>
    <t xml:space="preserve">Justificación meta inferior a línea base </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</si>
  <si>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</si>
  <si>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</si>
  <si>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</si>
  <si>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</si>
  <si>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</si>
  <si>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</si>
  <si>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</si>
  <si>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</si>
  <si>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</si>
  <si>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 xml:space="preserve"> </t>
  </si>
  <si>
    <t>Descripción del avance de meta en el periodo</t>
  </si>
  <si>
    <t>Descripción avances y logros</t>
  </si>
  <si>
    <t>Descripción retrasos y soluciones</t>
  </si>
  <si>
    <t>Beneficios para la Comunidad/Entidad</t>
  </si>
  <si>
    <t>PARTE 3. Actualización y Responsables del reporte</t>
  </si>
  <si>
    <t>Control de actualizaciones</t>
  </si>
  <si>
    <t xml:space="preserve">Fecha </t>
  </si>
  <si>
    <t>Campo modificado</t>
  </si>
  <si>
    <t>Modificación realizada.</t>
  </si>
  <si>
    <t>Responsable del Análisis</t>
  </si>
  <si>
    <t>XIMENA DEL PILAR RODRIGUEZ CIFUENTES</t>
  </si>
  <si>
    <t>Responsable del reporte</t>
  </si>
  <si>
    <t>Jefe de Oficina y/o Subdirector(a)</t>
  </si>
  <si>
    <t>GOTARDO ANTONIO YÁÑEZ ÁLVAREZ</t>
  </si>
  <si>
    <t>Firma Jefe Oficina y/o Subdirector(a)</t>
  </si>
  <si>
    <t>SUBDIRECTOR DE GESTIÓN CORPORATIVA</t>
  </si>
  <si>
    <t>Fortalecer los canales de comunicación</t>
  </si>
  <si>
    <t>Grupo Comunicaciones</t>
  </si>
  <si>
    <t>Garantizar accesibilidad a la información institucional a los grupos de valor, a través de los mecanismos y canales que disponga el Instituto</t>
  </si>
  <si>
    <t>Planes Estratégicos Formulados</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</si>
  <si>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</si>
  <si>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Plan de Acción</t>
  </si>
  <si>
    <t>Actividades ejecutadas para el fortalecimiento de los canales de comunicación / Actividades programadas para el fortalecimiento de los canales de comunicación</t>
  </si>
  <si>
    <t>Actividades ejecutadas para el fortalecimiento de los canales de comunicación</t>
  </si>
  <si>
    <t>Actividades programadas para el fortalecimiento de los canales de comunicación</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</si>
  <si>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</si>
  <si>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</si>
  <si>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Este propósito ha logrado que la Entidad se haya posicionado como referente en protección y bienestar animal, única de esta naturaleza en la Capital y el país, así como de los diferentes temas relacionados con su misionalidad, las actividades que lidera y el apoyo a su gestión diaria. Se ha logrado el acercamiento con nuevos medios de comunicación que no cubrían esta fuente previamente, y adicionalmente, se han fortalecido las relaciones con los medios aliados y neutros que atendían las publicaciones del IDPYBA.</t>
  </si>
  <si>
    <t>Acumulado Año</t>
  </si>
  <si>
    <t>Piezas Gráficas</t>
  </si>
  <si>
    <t>Videos</t>
  </si>
  <si>
    <t>Notas y Comunicados</t>
  </si>
  <si>
    <t>Publicaciones Facebook</t>
  </si>
  <si>
    <t>Publicaciones Twitter</t>
  </si>
  <si>
    <t>Publicaciones Instagram</t>
  </si>
  <si>
    <t>Impresiones en redes</t>
  </si>
  <si>
    <t xml:space="preserve">Se ha hecho una socialización masiva en el marco del free press y a través de redes sociales, llegando cada vez más a la comunidad. La tasa de retención es la más relevante este mes. Gracias al Congreso de Derecho Animal se disparó la audiencia. En cuanto a comunicados de prensa, hay un porcentaje valioso de cobertura frente a nuestros comunicados. </t>
  </si>
  <si>
    <t>CATALINA MARÍA CRUZ</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</si>
  <si>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</si>
  <si>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</si>
  <si>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</si>
  <si>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</si>
  <si>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</si>
  <si>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</si>
  <si>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</si>
  <si>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</si>
  <si>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</si>
  <si>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</si>
  <si>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</si>
  <si>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</si>
  <si>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</si>
  <si>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</si>
  <si>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</si>
  <si>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Para el reporte del periodo no se presentó ningun retraso pues se cumplió el cronograma de acuerdo a programación.</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</si>
  <si>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</si>
  <si>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Con la actualización, modificación y eliminación de documentos permite que los colaboradores apliquen los procesos como estan definidos en los documentos brindadno un mejor servicio para las partes interesadas. Adicionalmente se envian recordatorios a las areas para el reporte de las actividades programadas en el Mapa de riesgos de Corrupción , Mapas de riesgos de gestion por procesos y Plan Anticorrupción y de atención al Ciudadano.</t>
  </si>
  <si>
    <t>Andres Guerrero, Nancy Montero, Deisy Pascagaza, Leidy Rodriguez</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</si>
  <si>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</si>
  <si>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</si>
  <si>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</si>
  <si>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</si>
  <si>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</si>
  <si>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</si>
  <si>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</si>
  <si>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</si>
  <si>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</si>
  <si>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Actas de sistema de gestión de calidad elaboradas:</t>
  </si>
  <si>
    <t>Docuementos actualizados o creados:</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</si>
  <si>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</si>
  <si>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</si>
  <si>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</si>
  <si>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</si>
  <si>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</si>
  <si>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</si>
  <si>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</si>
  <si>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</si>
  <si>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</si>
  <si>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</si>
  <si>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</si>
  <si>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</si>
  <si>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</si>
  <si>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</si>
  <si>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</si>
  <si>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Mediante esta meta y este indicador el Instituto Distrital de Protección y Bienestar Animal busca generar su direccionamiento jurídico integral para la defensa y respuesta de la entidad, la cual consiste en dar respuesta oportuna y de fondo a las solicitudes realizadas por ciudadanos, dependencias internas, entes de control y demás entidades gubernamentales. Por otra parte, para resolver el 100% de las solicitudes de los procesos judiciales, requerimientos contractuales y de materia disciplinaria en los términos establecidos por las normas legales vigentes.</t>
  </si>
  <si>
    <t xml:space="preserve">Se actualizan y/o elaboran  41 documentos,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</si>
  <si>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Peticiones - oficios recibidos y tramitados:</t>
  </si>
  <si>
    <t>Tutelas y demandas respondidas:</t>
  </si>
  <si>
    <t>Diligencias judiciales atendidas:</t>
  </si>
  <si>
    <t>Denuncias tramitadas o gestionadas:</t>
  </si>
  <si>
    <t>Contratos elaborados:</t>
  </si>
  <si>
    <t>Novedades contractuales:</t>
  </si>
  <si>
    <t>Derechos de petición respondidos, PQR, Requerimientos:</t>
  </si>
  <si>
    <t>Certificaciones de Contratos y paz y salvos</t>
  </si>
  <si>
    <t>Expedientes gestionados:</t>
  </si>
  <si>
    <t>Derechos de petición respondidos:</t>
  </si>
  <si>
    <t>Autos inhibitorios o fallos de primera instancia:</t>
  </si>
  <si>
    <t>Realizar un diagnostico de fortalecimiento institucional que cumpla con las necesidades de los procesos transversales del IDPYBA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</si>
  <si>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</si>
  <si>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</si>
  <si>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</si>
  <si>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</si>
  <si>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</si>
  <si>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</si>
  <si>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Cantidad de actividades que se ejecutaron para la implementacion de los procesos transversales</t>
  </si>
  <si>
    <t xml:space="preserve">Este objetivo tiene relación con la necesidad de realizar fortalecimiento a los procesos transversales que le competen a la Subdirección de Gestión Corporativa, esto tiene relación a las funciones establecidas dentro del Acuerdo 003 de 2017 “establecer, coordinar y evaluar la ejecución de los planes y programas de incentivos y bienestar social, de capacitación y de seguridad y salud en el trabajo”, así como “Dirigir la implementación, administración y gestión de los recursos tecnológicos, informáticos y de comunicaciones, de acuerdo a los requerimientos del Instituto”, de otra parte, esta dependencia cuenta dentro de sus funciones con la responsabilidad de “definir las políticas y establecer los mecanismos de implementación del sistema de quejas y reclamos de la entidad conforme con la normatividad vigente”, entre otras funciones inherentes a la función administrativa de la entidad.
Por medio de esta meta se han realizado las actividades y se ha dado cumplimiento al Plan Institucional de Gestión Ambiental y al Plan de Acción Cuatrienal Ambiental – PACA, conforme a la normatividad vigente; es de la misma manera, que se ha apoyado el cumplimiento de las actividades programadas dentro de los Planes de Desarrollo Institucional, a saber: Plan Institucional de Archivos, Plan de Seguridad y salud en el trabajo, Plan Anual de Vacantes, Plan de Previsión, Plan anual de incentivos, Plan estratégico de Talento humano y Plan Institucional de Capacitaciones, dentro de otras actividades propias de la Gestión Estratégica del Talento Humano que son realizadas a manera de fortalecimiento de las actividades del presupuesto de funcionamiento. 
Adicionalmente, por medio de esta meta se realiza seguimiento a los proyectos de inversión y a actividades de enlace administrativos, financieros, jurídicos y de planeación; de otra parte, se fortalecen actividades relacionadas con la operación de los procesos internos de administración y gestión documental. De otra parte, se financia la operación del grupo de servicio al ciudadano, por medio del cual se canalizan las peticiones internas y externas de los ciudadanos por medio de los canales virtuales, telefónicos y físicos. Así como la prestación de, servicio al ciudadano en la Red CADE del Distrito, en las localidades con mayor incidencia de nuestra misionalidad. </t>
  </si>
  <si>
    <t xml:space="preserve">PQRS recibidas: </t>
  </si>
  <si>
    <t>Satisfacción ciudadana:</t>
  </si>
  <si>
    <t>Asesorías dadas:</t>
  </si>
  <si>
    <t>Capacitaciones:</t>
  </si>
  <si>
    <t>Actividades de bienestar:</t>
  </si>
  <si>
    <t>Actividades del PASST:</t>
  </si>
  <si>
    <t>Actividades FURAG-MIPG:</t>
  </si>
  <si>
    <t>Ingresos, salidas y traslados:</t>
  </si>
  <si>
    <t>Vehiculos asignados:</t>
  </si>
  <si>
    <t>Proveedores gestionados:</t>
  </si>
  <si>
    <t>Mantenimientos realizados</t>
  </si>
  <si>
    <t>Campañas realizadas:</t>
  </si>
  <si>
    <t>Reportes realIzados</t>
  </si>
  <si>
    <t>CDP Y CRP expedidos:</t>
  </si>
  <si>
    <t>Seguimientos y modificaciones al PAA:</t>
  </si>
  <si>
    <t>Giros por pospre realizados:</t>
  </si>
  <si>
    <t>Operaciones contables:</t>
  </si>
  <si>
    <t>Transferencias documentales realizadas</t>
  </si>
  <si>
    <t>Capacitaciones realizadas:</t>
  </si>
  <si>
    <t>Revisiónes de expedientes o intervenciones</t>
  </si>
  <si>
    <t>Con esta meta, se genera un fortalecimiento y una garantía para la gestión eficiente y eficaz del Instituto Distrtital de Protección y Bienestar Animal. Se garantiza para el  Instituto Distrital de Protección y Bienestar Animal la prestación de los bienes y servicios que requiere para su operación, la conservacion de la memoria historica, la atención y servicio a la ciudadanía en el marco de la gestión ambiental.</t>
  </si>
  <si>
    <t>Implementar un plan de acción para el cumplimiento de la estrategia de los procesos TIC del Instituto acorde con los lineamientos establecidos en el Decreto 415 de 2016</t>
  </si>
  <si>
    <t>Subdireccion de Gestion Corporativa - TIC</t>
  </si>
  <si>
    <t>PA04</t>
  </si>
  <si>
    <t xml:space="preserve">Desarrollar herramientas técnicas, dinámicas y confiables, a través del manejo y gestión de conocimiento. </t>
  </si>
  <si>
    <t>Planes De Acción O Gestión Formulados.</t>
  </si>
  <si>
    <t>Medir la implementación un plan de accion de la estrategia de los procesos TIC del Instituto acorde con los lineamientos</t>
  </si>
  <si>
    <t>PLAN DE ACCION</t>
  </si>
  <si>
    <t>Actividades que se ejecutaron para la implementacion de plan de trabajo TIC/Actividades que se programaron para la implementacion implementacion de plan de trabajo TIC</t>
  </si>
  <si>
    <t>Actividades que se ejecutaron para la implementacion de los procesos transversales</t>
  </si>
  <si>
    <t>AVANCE MES</t>
  </si>
  <si>
    <t>ACUMULADO AÑO</t>
  </si>
  <si>
    <t>Solicitudes gestionadas por la mesa de servicios:</t>
  </si>
  <si>
    <t>Publicaciones realizadas en sitios web:</t>
  </si>
  <si>
    <t>MONICA LIZETH GARZÓN</t>
  </si>
  <si>
    <t>SUBDIRECTOR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</si>
  <si>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</si>
  <si>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</si>
  <si>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</si>
  <si>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</si>
  <si>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</si>
  <si>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</si>
  <si>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</si>
  <si>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</si>
  <si>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</si>
  <si>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</si>
  <si>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</si>
  <si>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</si>
  <si>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</si>
  <si>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</si>
  <si>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</si>
  <si>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</si>
  <si>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</si>
  <si>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</si>
  <si>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</si>
  <si>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</si>
  <si>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</si>
  <si>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</si>
  <si>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</si>
  <si>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</si>
  <si>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</si>
  <si>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t>Se acompañaron los laboratorios cívicos de fase 2 de presupuestos participativos de las siguientes localidades: San Cristóbal, Puente Aranda, Ciudad Bolívar, Sumapaz, Usme, Rafael Uribe Uribe y Candelaria. Así mismo se realizaron comentarios en mesa de trabajo al proyecto local de bienestar animal de la localidad de Teusaquillo.</t>
  </si>
  <si>
    <t>Se realizó la revisión y concepto de viabilidad de las Causas Ciudadanas propuestas para 2022, con el fin de establecer las causas viables técnica y financieramente que pasarán a la etapa de votación ciudadana.</t>
  </si>
  <si>
    <t>RUTH YANED VARGAS RICO</t>
  </si>
  <si>
    <t xml:space="preserve">Los beneficios obtenidos para la comunidad fueron los siguientes: Se amplio el cupo de Turnos de Esterilizaciones para la comunidad en todas las Localidades                                                                                                                                                                                                                       Con el Sistema de Adopciones los usuarios podrán visualizar a través del movil o la sede electrónica los animales (Canino o Felino) que se encuentran en proceso de adopción con su respectiva descripción, edad, si presentan condición especial, etc.                                                                                                                                                    Con el Sistema de Redes las Alcaldías Locales realizan registro y seguimiento en relación a la información de los proteccionistas a nivel distrital.					</t>
  </si>
  <si>
    <r>
      <rPr>
        <b/>
        <sz val="10"/>
        <color theme="1"/>
        <rFont val="Arial"/>
        <family val="2"/>
      </rPr>
      <t>EQUIPO DE RECURSOS FÍSICOS</t>
    </r>
    <r>
      <rPr>
        <sz val="10"/>
        <color theme="1"/>
        <rFont val="Arial"/>
        <family val="2"/>
      </rPr>
      <t>:
1- Se realiza la programación de  los servicios que prestan los vehiculos en calidad de alquiler, programacion que se realiza de manera semanal de acuerdo con la solicitud de cada uno de los equipos que requieren el servicio, asi mismo se da respuesta efectiva a las solicitudes extemporaneas recibidas, de acuerdo a que se realizo disminucion en el numero de vehiculos externos que prestan el servicio al Instituto, se redujo la prestacion del servicio. Mediante el contrato de transportes se aporta al cumplimiento de la misionalidad del Instituto, mediante la correcta prestacion del servicio, tanto para el transporte de personal como para el transporte de animales y acompañamiento a las diferentes convicatorias realizadas por entidadades en cumplimiento compromisos de ciudad.
2 Se tramite el pago de las obligaciones financieras, de acuerdo con el cumplimiento de los provedores, asi mismo se aporta  en la ejecucion presupuestal para el 2022, durante este mes se generaron pagos penditnes, los cuales no habian sigo facturados en mees anteriores. Todos los provedores cumplieron co  la presentacion del informe y soportes para generar las acciones tendientes para el pago de las obligaciones financieras del Instituto.
3 - Con el cumplimiento de esta actividad, se logran mantener el normal funcionamiento de la sede adminsitrativa, actividades solicitadas por el equipo de recursos fisicos del Instituto, en cumplimiento de las actividades programadas dentro del plan de mantenimiento.</t>
    </r>
  </si>
  <si>
    <t xml:space="preserve">6 ingresos, 208 salidas, 2 reintegros 22 traslados,  2 compras, </t>
  </si>
  <si>
    <t xml:space="preserve">86 ingresos; 1668 salidas; 236 traslados; 8 reintegros; 25 compras  8 bajas </t>
  </si>
  <si>
    <r>
      <t xml:space="preserve">EQUIPO DE GESTIÓN FINANCIERA: </t>
    </r>
    <r>
      <rPr>
        <sz val="10"/>
        <color rgb="FF000000"/>
        <rFont val="Arial"/>
        <family val="2"/>
      </rPr>
      <t>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t>
    </r>
  </si>
  <si>
    <r>
      <t xml:space="preserve">NOTA: </t>
    </r>
    <r>
      <rPr>
        <sz val="10"/>
        <color rgb="FF000000"/>
        <rFont val="Arial"/>
        <family val="2"/>
      </rPr>
      <t>En cuanto a algunos CDP y CRP, cada documento debe expedirse tres veces, esto debido a que se expide en un rubro por cada elemento PEP, que si bien sigue siendo el mismo documento y el mismo consecutivo, el tramite se realiza una vez por cada elemento.</t>
    </r>
  </si>
  <si>
    <t>Natalia Roncancio; Fredy Arizas; Johan Pulido; Laura Cabrera, Diana Gomez</t>
  </si>
  <si>
    <t>En esta meta, se ha logrado avanzar con el proyecto de rediseño del instituto, realizando un levantamiento de cargas laborales en todas las dependencias, elaborando el documento de estudio técnico que tuviera en cuenta las competencias frentes al plan de desarrollo distrital y planes sectoriales, realizando un análisis interno, de revisión de funciones por dependencia, un análisis financiero, y un Modelo de Operación construido y presentado ante los directivos de la entidad. 
Como reto, el Instituto Distrital de Protección y Bienestar Animal tendrá que culminar las etapas de aprobación del proyecto de rediseño Institucional en caso de que ocurra se deberá iniciar con la etapa de implementación del mismo, lo que implicará para la Entidad iniciar preliminarmente con la construcción de su nueva estructura orgánica y organizacional, la construcción de un Manual Especifico de Funciones y Competencias Laborales que esté acorde a las necesidades y a la realidad institucional garantizando la no afectación de derechos de los funcionarios que por merito ocuparon empleos en el instituto, adicionalmente se debera iniciar la construcción de nuevos mapas de procesos; revisión y actualización de todos los procedimientos, entre otras acciones que propendan por la eficiencia del gasto público, el aumento de los tiempos de respuesta de los requerimientos internos y externos</t>
  </si>
  <si>
    <t>Durante el mes de septiembre el DASCD realiza un alcance al radicado efectuado en el mes de agosto con observaciones, con base en esto, se realizarón ajustes al estudio técnico y a algunos anexos que hacen parte integral del estudio técnico, de esta manera se atienden las recomendaciones y se genera nuevamente radicado ante esta entidad para dar continuidad con el proceso.</t>
  </si>
  <si>
    <t>El DASCD emitio una respuesta en el mes de agosto frente al radicado inicial del estudio técnico, el Instituto acogio las recomendaciones y radico nuevamente en el mismo mes (agosto), sin embargo el DASCD genero un alcance a la primer contestación  con nuevas observaciones las cuales se analizaron por parte del IDPYBA y se procedió a generar en el mes de septiembre nuevamente radicacion.</t>
  </si>
  <si>
    <t>Se esta fortaleciendo el analisis interno y externo para el cumplimiento de la mision y visión del instituto teniendo en cuenta las nuevas funciones asignadas al instituto mediante el Artículo 22 del Acuerdo Distrital 735 de 2019 y mediante el Acuerdo Distrital 761 de 2020 articulo 117 , con el levantamient de cargas laborales efectuado, se espera conocer y facilitar el balance entre los colaboradores y servidores de la entidad identificando las oportunidades de mejora que facilite la prestación del servicio y el creciemiento de la entidad</t>
  </si>
  <si>
    <t>En el mes de septiembre de 2022 se realizó los reportes en PMR, SPI, POA, Alertas y Recomendaciones, Seguimiento al POA  y Hojas de vida de indicadores del mes de agosto de 2022.. Se acompañó a las Subdirecciones tecnicas en las modificaciones del Plan de Adquisiciones que requerían traslados presupuestales entre metas de los proyectos.
Se realizó cumplimiento de la circular SHD-00004 del 17 de junio de 2022 en los numerales 9, 10 y 11 los cuales representan entrega la presentación del Anteproyecto de presupuesto de inversión para la vigencia 2023, catalogo de productos MGA e inclusión de nuevas POSPRES en cada uno de los proyectos de inversión respectivamente y 
se realizó el acompañamiento a la alta Dirección del Instituto para la presentación del anteproyecto del Instituto la cual fue programa por parte de la Secretaría de Hacienda Distrital para el 19 de septiembre, este acompañamiento implicó elaboraciones de presentaciones, recalculaciones de presupuesto y magnitudes.
En cumplimiento al Plan Estadístico Distrital – PED se ha avanzado en el diligenciamiento de la caracterización, ficha metodológica y el documento metodológico de la Operación Estadística a cargo del Instituto, como también la caracterización del registro administrativo. Por otro lado, se han adelantado diferentes mesas de trabajo con Secretaria de Planeación para la revisión y ajuste del avance del documento de la operación estadística.
Se diligenció la matriz plan de acción para los productos en responsabilidad del IDPYBA en la política pública de Ruralidad identificando el costo estimado de cada uno de ellos. Asimismo se acompaño a la mesa de concertación de productos para la política pública de acción incidente y se diligenció el formato sugerido por la Secretaria Distrital de Planeación para solicitud de ajustes del plan de acción de la Política Pública Distrital de Protección y Bienestar Animal. 
Se realizó acompañamiento técnico a dos (2) laboratorios cívicos diferenciales para las localidades de Rafael Uribe Uribe y Usaquen.</t>
  </si>
  <si>
    <t>RUTH YNED VARGAS RICO</t>
  </si>
  <si>
    <t>El Equipo MIPG de la Oficina Asesora de Planeación, es la encargada de liderar la Implementación de Modelo Integrado de Planeación y Gestión, dentro de sus actividades tiene el desarrollo y seguimiento a planes de mejoramiento y reportes es por esto que a continuación se desglosan las actividades que se programaron y el desarrollo de las mismas: 
Durante el primer trimestre de 2022 se revisó la información correspondiente al diligenciamiento del Furag 2020, con esa validación se adelantaron mesas de trabajo con la áreas, socializando el proceso de obtención de la información y sus evidencias.
En el mes de marzo se cargó en la plataforma la respuesta a cada una de las preguntas asignadas junto con sus soportes mediante mesas de trabajo permanentes acompañadas por el equipo asesor de Control Interno, la Oficina Asesora de Planeación y las áreas responsables de cada política asociada al MIPG, una vez diligenciado el 100% del formulario, se socializó con la Directora General, quien aportó observaciones para finalmente finalizar y enviar el formulario dentro de las fechas establecidas.
En el mes de Abril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Adicionalmente se evidencian avances en modificación, eleboración y eliminación de documentos, se continua con la implementación de nuevo aplicativo documental para el acceso a la información vigente del Instituto.
En el mes de mayo se realiza segumiento cuatrimestral a el PAAC, RIESGOS DE CORRUPCIÓN, RIESGOS DE GESTION POR PROCESOS, Adicionalmente se evidencian avances en modificación, eleboración y eliminación de documentos, se continua con la implementación de nuevo aplicativo documental para el acceso a la información vigente del Instituto.
En el mes de mayo se revisaron y analizaron los resultados del FURAG vigencia 2021 y con base en las recomendaciones allegadas por el DAFP se construyó el plan de mejoramiento FURAG que se implementará en lo restante del año. Con respecto al Plan Estadístico Distrital, se depuró el inventario de operaciones estadísticas en mesas de trabajo con las Subdirecciones Misionales y con el acompañamiento de la Secretaría Distrital de Planeación. 
En el mes de junio se realizan Mesas de trabajo con los procesos de : Adopciones y hogares de paso, Observatorio, Participación, Educación, Brigadas e identificación, Regulación, para la revisión de tramites, OPAS, consultas de información que deben ser cargadas al SUIT y a la guía de tramites y servicios. Adicionalmente se evidencian avances en adopción y eliminacion de documentos de diferentes procesos del instituto, se continua trabajando en la implementación del nuevo aplicativo documental para el acceso a la información vigente del instituto. 
Con respecto al Plan de Adecuación del MIPG,  para el mes de junio se revisaron y validaron los responsables de algunas actividades programadas, así mismo, se socializaron al interior del equipo MIPG las tareas a cargo de la Oficina Asesora de Planeación para validación de las fechas de entrega. En cuanto al Plan Estadístico Distrital, se dilgenció la ficha de caracterización de la Operación Estadística de la entidad y se envió a validación a la Secretaría Distrital de Planeacion.
En el mes de julio se envian correos recordatorios a las diferentes areas de la entidad para que tengan presenten las actividades pactadas para el segundo cuatrimestre de la vigencia 2022 en materia de Plan Anticorrupción y Atención al Ciudadano asi mismo de los riesgos asociados y de los Riesgos por Procesos, se evidencian mesas de trabajo con diferentes areas del intituto para la elaboración, actualización y eliminacion de diferentes documentos que surgen de las necesidades de los procesos, se evidencian avances en la actualización , adopción  de documentos del sistema de calidad asi mismo se realizan las revisiones preliminares de diferentes documentos , se trabaja articualadamente con las areas en pro de Rendición de Cuentas. Con respecto al Plan de Adecuación y mantenimiento del MIPG,  para el mes de julio se revisaron y validaron los responsables de algunas actividades programadas, se realizó seguimiento a las (5) actividades programas para el mes de junio, con un cumplimiento de lo 100% de lo programado y se solicitaron las evidencias a los responsables. 
Para el mes de agosto se envian correos recordatorios a las diferentes areas de la entidad para que tengan presenten las actividades pactadas para el segundo cuatrimestre de la vigencia 2022 en materia de Plan Anticorrupción y Atención al Ciudadano asi mismo de los riesgos de corrupcion y de los Riesgos por Procesos, tambien se envian los correos con los links para el cargue de evidencias y diligenciamiento del segundo autocontrol del Plan Anticorrupción y Atención al Ciudadano asi mismo de los riesgos de corrupcion asociados y de los Riesgos por Procesos, se realizan mesas de trabajo con los diferentes procesos para brindar asesoria y realizar revisiones preliminares de procedimientos y documentos asociados para ser actualizados y/o adoptados, tambien se adelanta la impresión de documentos vigentes y obsoletos para realizar transferencia documental de los 14 procesos del instituto, frente al FURAG se contruyo una herramienta para la consolidación y seguimiento del plan de mejoramiento y sostenibilidad FURAG - planer, adicional se envia instructivo de uso a los lideres de las actividades, se envian correos recordatorios de las actividades con vencimiento a corte de julio y agosto y consolidación de inquietudes, solicitudes de aopoyo a la mesa sectorial de ambiente asociadas al plan de sostenibilidad y mejoramiento.En el mes de agosto se reporta reprogramacion de gobierno abierto y primer seguimiento
En el mes de Septiembre se realiza el segundo seguimiento al segundo cuatrimestre de la vigencia 2022 del Plan Anticorrupción y atención al ciudadano y riesgos de corrupción, se realiza tambien el  segundo seguimiento de los 14 riesgos de procesos del instituto, se realizan diferentes mesas de trabajo con los diferentes procesos para brindar asesoria y apoyo en la actualización y adopción de nuevos documentos, se realizan revisiones preliminares de documentos para poder ser adoptados o actualizados, tambien se adelanta la impresión de documentos vigentes y obsoletos para realizar transferencia documental de los 14 procesos del instituto, se adelanta la propuesta para la modificación de la Resolución 047 de 2019 “por la cual se crea el Comité Institucional de Gestión y Desempeño del IDPYBA” en la cual se actualiza, modifica y adicionan ciertos aspectos importantes, tambien se trabaja en el proceso de carcterización de usuarios de la entidad, se participa en reuniones de Senda de Integridad, para el proceso de rendicón de cuentas con enfoque de genero y diferencial.Para el mes de septiembre se realizó seguimiento a las actividades programadas del plan de mantenimiento y sostenibilidad FURAG, se envían correos recordatorios de las actividades con vencimiento a corte de agosto. Así mismo se asiste a la jornada de retroalimentación de las inquietudes elevadas por el Instituto a la Secretaría General. Como parte de la ejecución de las actividades responsabilidad de la OAP, se solicitó el diseño de piezas de comunicación con el propósito de socializar de formas alternativas el PAAC.INDICE DE TRANSPARENCIA Y ACCESO A LA INFORMACIÓN: Se realizan mesas de trabajo con las diferentes áreas para el diligenciamiento del formulario ITA con fecha limite de reporte 30 de septiembre, se obtiene un Nivel de cumplimiento: 100 sobre 100 puntos.</t>
  </si>
  <si>
    <t>Se actualizan y/o elaboran 10 documentos, se actualiza el listado maestro de documentos para que todos los funcionarios y colaboradores tengan las ultimas versiones de los documentos.</t>
  </si>
  <si>
    <r>
      <rPr>
        <b/>
        <sz val="11"/>
        <color theme="1"/>
        <rFont val="Arial"/>
        <family val="2"/>
      </rPr>
      <t>OFICINA ASESORA JURIDICA</t>
    </r>
    <r>
      <rPr>
        <sz val="11"/>
        <color theme="1"/>
        <rFont val="Arial"/>
        <family val="2"/>
      </rPr>
      <t xml:space="preserve">: 
Durante el mes de septiembre de 2022, la Oficina Asesora Jurídica recibio 354 peticiones y oficios tal como lo evidencia el correo que remite el control de correspondencia de la OAJ, los cuales fueron tramitados en los terminos legalmente establecidos. Asimismo, se dio respuesta a 3 acciones de tutela: No 2022-01840 del Tribunal Superior de Bogotá – Sala Civil Especializada de restitución de tierras, No 2022- 0088 del Juzgado 82 Civil Municipal de Bogotá D.C., y No 2022-00963. Juzgado 23 Civil Municipal de Oralidad de Bogotá D.C., asimismo, se profirieron los fallos de tutela: Fallo de tutela del 8 de septiembre de 2022 dentro de la Acción No 2022- 01840, fallo de tutela del 13 de septiembre de 2022 dentro de la Acción No 2022-00884. Se efectuaron seguimientos semanales a los procesos judiciales vigentes en la página de la rama y se realizó la correspondiente actualización de las actuaciones judiciales en el SIPROJ. Se asistió a 162 diligencias judiciales y se elaboraron 7 oficios de excusas dirigidos a los Juzgados y/o autoridades competentes.   
Se elaboraron 18 denuncias, de las cuales 16 fueron trasladadas por la subdirección de atención a la Fauna, 2 elaboradas por medio de asesoría prestada por el Centro de Atención Jurídica. Se constituyó al IDPYBA como representante de víctimas en la audiencia de formulación de imputación de cargos de fecha 1 de septiembre de 2022 ante el Juzgado 31° Penal Municipal con función control de garantías. Se llevo a cabo ante el Juzgado 17° Penal Municipal con función de conocimiento audiencia de lectura de decisión, se llevo a cabo ante el Juzgado 20° Penal Municipal con Función de conocimiento audiencia verificación de preacuerdo. Se acompañó al operativo de fecha 12 de Septiembre de la anualidad convocado por la Alcaldía Local de Teusaquillo, previo a ello, se realizó mesa de trabajo para definir competencias para la intervención en el sector de la Caracas.
Se realizaron siete (7) análisis y comentarios a proyectos de ley en curso tanto en Senado como en Cámara y un (1) proyecto de acuerdo que cursa en el Concejo de Bogotá D.C, se materializan dos (2) procedimientos con los que se busca establecer el procemiento de gestión de  PQRSD  y actividades para la realización de las valoraciones médicas veterinarias a caninos y felinos que se encuentren en situación de calle o que residen en hogares de estratos 0, 1, 2 y 3, el cual esta conformado por 7 procedimientos.
En el mes de septiembre se recibieron 81 consultas para asesoría jurídica, las cuales se desarrollan de manera Mixta (presencial - Virtual), haciendo que estas sean lo más personalizadas posible. Se realiza capacitación del Centro de Atención Jurídica los días 20, 26 y 28 de septiembre del presente año a las denominadas manzanas del cuidado de las localidades de Bosa, Kennedy, Engativá, Usaquén, San Cristóbal, Rafael Uribe, Mártires, Santa Fe, Ciudad Bolívar y Usme, en la que participaron 22 personas del programa de cuidado animal. Se continua con el plan piloto en la implementación del aplicativo “Atención Jurídica Animales a un clic” como un mecanismo de agendamiento de turno para recibir asesoría jurídica por parte del CAJPYBA. Se ha avanzado en la generación y estructuración de los convenios establecidos entre el IDPYBA y las universidades aliadas para la cooperación jurídica con el CAJPYBA, para la pronta suscripción de los mismos. jurídica por parte del CAJPYBA, mediante el cual se han incrementado el ingreso de casos y especialmente permite que los usuarios agenden la cita directamente, evitando así dilaciones para la atención del mismo, finalmente, se trabajo en la visibilidad del CAJ a través de diferentes medios de comunicación masiva: El Tiempo, CityTV (Bravissimo y Arriba Bogotá), Radio Nacional de Colombia, y otros medios. </t>
    </r>
  </si>
  <si>
    <r>
      <rPr>
        <b/>
        <sz val="11"/>
        <color theme="1"/>
        <rFont val="Arial"/>
        <family val="2"/>
      </rPr>
      <t xml:space="preserve">SUBDIRECCIÓN DE GESTIÓN CORPORATIVA: GRUPO CONTRACTUAL: </t>
    </r>
    <r>
      <rPr>
        <sz val="11"/>
        <color theme="1"/>
        <rFont val="Arial"/>
        <family val="2"/>
      </rPr>
      <t xml:space="preserve">
En total se suscriben 19 contratos
- 10 CPS
3 Contratos Bienes y Servicios:
-MC-005-2022-QUIRON UNIDAD MEDICA SAS
-LP-004-2022 - TRANSPORTES CSC S.A.S
- CD-419-2022 - ETB
-6 ORDENES DE COMPRA 
 Modificaciones Tramitadas:
- Adición y prórroga 21
- Cesión de Contrato 2
- Prórrogas 1
- Adición  0
- Suspensiones 6
- Terminación Anticipada 2
- Otras modificaciones a 2 Contratos
Solicitud de Liquidacion de Contrato 2
Se realiza la presentacion de Informes a Sivicof- Sideap /  Informe de Funcion Publica
Se da respuesta a:
- 7  Requerimientos Internos y Externos
Se da respuesta tambien a
-31 solicitudes de Certificaciones de Contratos 
-25 tramite de Paz y Salvos </t>
    </r>
  </si>
  <si>
    <t>3 Tutelas</t>
  </si>
  <si>
    <t>21 Acciones Constitucionales</t>
  </si>
  <si>
    <t>162 y 7 oficios de excusa</t>
  </si>
  <si>
    <t>1071 y 62 oficios de excusa</t>
  </si>
  <si>
    <t>18</t>
  </si>
  <si>
    <t>33</t>
  </si>
  <si>
    <r>
      <rPr>
        <b/>
        <sz val="11"/>
        <color theme="1"/>
        <rFont val="Arial"/>
        <family val="2"/>
      </rPr>
      <t>OFICINA DE CONTROL INTERNO DISCIPLINARIO:</t>
    </r>
    <r>
      <rPr>
        <sz val="11"/>
        <color theme="1"/>
        <rFont val="Arial"/>
        <family val="2"/>
      </rPr>
      <t xml:space="preserve"> ctualmente la Oficna de Control Discplinario Interno  del IDPYBA,  tiene cincuenta y un (51) expedientes activos  de los cuales ocho (8) son Investigaciones formales y el restante corresponden a  Indagaciones previas.
Para el mes de Septiembre  de 2022, la OCDI, gestionó y generó :
1. Cuatro (4) respuestas a derechos de peticion interpuestos por ciudadanos. 
2. Catorce (14) providencias, asi:
            - un (1) Auto de Apertura de Investigacion Disciplinaria 
            - un (1) Auto de practica de pruebas 
            - Dos (2) autos de apertura de Indagacion Previa 
            - seis (6) Autos de reconocimiento de personeria a Defensor 
           -  Cuatros (4) autos de archivo. 
3. Las Notificaciones (personal y por edicto)
4. practica de pruebas documentales y testimoniales 
5. Las comunicaciones necesarias para la continuidad de las actuaciones. 
</t>
    </r>
  </si>
  <si>
    <t>Con el cumplimiento de la meta establecida en el Plan de Acción y Plan de Contratación y Compras, la Subdirección de Gestión Corporativa - desde el grupo contractual realiza apoyo a las diferentes áreas misionales para el cumplimiento de la misión del Instituto en pro de la materialización de proyectos encaminados a la protección y el bienestar de la fauna doméstica que habita en el Distrito y en el alcance de las metas propuestas y el cumplimiento de los principios de la función pública.
Los temas contractuales se gestionan a través de procesos y procedimientos eficientes y eficaces que comprenden el acompañamiento jurídico, técnico y financiero a cada uno de los procesos de selección, promoviendo el ahorro a través de las compras de uso de bienes y servicio común y la utilización de la Tienda Virtual del Estado Colombiano como instrumento de Agregación de Demanda y en Grandes Superficies
Se presentan quejas por anónimo y de la vaguedad e imprecisión de las supuestas acciones irregulares informadas, se infiere la falta de fundamento y credibilidad de los hechos documentos en comento. Lo anterior con respaldo en el numeral 1° del artículo 27 de la Ley 24 de 1992, que prohíbe al Ministerio Público la activación del aparato estatal por la vía del control disciplinario, como consecuencia de un anónimo, norma que es recogida por la Ley 190 de 1995, en cuyo artículo 38 establece:“(...) se aplicará en materia penal y disciplinaria, a menos que existan medios probatorios suficientes sobre la comisión de un delito o infracción disciplinaria que permitan adelantar la actuación de oficio (...)”. Razón por la cual de los radicados presentados por anónimos que ingresaron para el mes de febrero se profirieron autos de impedimento.</t>
  </si>
  <si>
    <t>Yuly Patricia Castro Beltran  - Gotardo Antonio Yáñez Alvarez - Maria Isabel Villegas</t>
  </si>
  <si>
    <t>Jefe de la Oficina Asesora de Planeación - Subdirector de Gestión Corporativa - Jefe de la Oficina de Control Disciplinario Intenro</t>
  </si>
  <si>
    <t>Vanessa Paez - Ingrid Rodriguez -  Maria Isabel Villegas</t>
  </si>
  <si>
    <t xml:space="preserve">La comunidad cuenta con una Oficina Asesora Juridica, Equipo de contratación y de Control interno disciplinario que responde a todas las necesidades internas de la Entidad. Adicionalmente, contribuyen a la defensa de los animales, entendimiento de los asuntos juridicos en materia de proteccon y bienestar animal, protección de los recursos e intereses públicos entre otros. </t>
  </si>
  <si>
    <t>•	Se realizó la sensibilización en temas de seguridad y privacidad de la información
•	Se comenzaron a realizar pruebas controladas de Ingeniería social (Phishing)
•	Se están haciendo copias periódicas de la información del Instituto, por lo cual las plataformas de almacenamiento y backup están en operación
•	Se establecieron nuevos lineamientos para la contratación con ETB en lo referente a la seguridad y disponibilidad de la información del Instituto en el nuevo contrato.
En relación con la sede electrónica se realiza actualización de la información del ítem de ley de transparencia y acceso a la información pública de acuerdo con la matriz ITA.
Adicionalmente con los Sistemas de Información: Se da inicio al desarrollo del Sistema de Mesa de Servicios y el desarrollo para pagos por PSE a través del Sistema Esterilizar Salva.</t>
  </si>
  <si>
    <r>
      <t xml:space="preserve">EQUIPO DE ATENCIÓN AL CIUDADANO:  </t>
    </r>
    <r>
      <rPr>
        <sz val="10"/>
        <color theme="1"/>
        <rFont val="Arial"/>
        <family val="2"/>
      </rPr>
      <t>Durante el mes de septiembre se radicó un total de 1.180 derechos de petición a través de los diferentes canales de atención, y fueron direccionados a las diferentes dependencias del IDPYBA, en el mes se respodieron 6 peticiones fuera de terminos de Ley. Se realiza mesa de trabajo con las dependencia para realizar seguimeinto a la calidad de las respuestas y opotunidad de los derechos de petición.
Se realizaron 2909 asesorías a través de los canales de atención dispuestos por el IDPYBA, en donde la mayor solicitud es de entrega de turnos para esterilizaciones y el canal más utilizado es el telefónico y presencial, dado que estamos ubicados en 7 puntos de la red CADE.
El 71% de los ciudadanos se encuentra satisfechos con la atención recibida, El porcentaje de personas que se encuentran insatisfechas manifiestan inconformidad con el tiempo de gestion  de las peticiones realizadas por los ciudadanos y el proceso para agendamiento de esterilización por falta de cupos.</t>
    </r>
  </si>
  <si>
    <r>
      <rPr>
        <b/>
        <sz val="10"/>
        <color theme="1"/>
        <rFont val="Arial"/>
        <family val="2"/>
      </rPr>
      <t>GESTION DE TALENTO HUMANO</t>
    </r>
    <r>
      <rPr>
        <sz val="10"/>
        <color theme="1"/>
        <rFont val="Arial"/>
        <family val="2"/>
      </rPr>
      <t>:  Para el mes de septiembre de 2022 se tenian programadas 10 capacitaciones de las cuales se realizaron 10: Capacitación Programa de Gestión Documental/Cuadro de Clasificación Documental, Capacitación Procesos con Fiscalía e Inspectores de Policía, Capacitación Gestión Pública Orientada A Resultados, Capacitación en Usos Del Outlook - ¿Qué Es El Dominio? – Tips De Seguridad, Capacitación Estrategia Cambio Cultural, Capacitación Preparación Simulacro Distrital, Capacitación Prevención Acoso Laboral, Capacitación Manipulación De Cargas, Capacitación Uso De Botilos o Pocillos Reutilizables y  Capacitación Criterios Ambientales – Compra Sostenibles.Así mismo, en el plan de bienestar e incentivos, se tenían programadas 6 actividades de las cuales se ejecutaron 6. Por otra parte, en el Plan de SST se tenían programadas 8 actividades de las cuales se ejecutaron 8:  1. Se realizó el diligenciamiento de los indicadores, según el tiempo de periodicidad de los mimos en la plataforma SIDEAP 2. Se realizó seguimiento al COPASST. 3. Se realiza seguimiento al plan de capacitaciones generando como resultado un cumplimiento del 100% del plan proyectado a corte agosto 31, asimismo, se evidencia que para culminar las actividades proyectadas para los meses restantes ya se encuentran en gestión para ser ejecutadas conforme al cronograma 4. Se solicito diagnostico de condiciones de salud al proveedor SYSO y se realiza el respectivo análisis teniendo como prioridad las recomendaciones generadas, en este sentido se proyecta acciones y actividades para incluir en el plan de SST vigencia 2023, tales como diseño de PVE auditivo, visual cardiovascular, Programa de vida saludable, incluir temas en el plan de capacitación como: control riesgo auditivo, visual y movimientos repetitivos.5. Se realizó seguimiento de las actividades realizadas a corte agosto 2022 donde se evidencia que se han realizado 107 actividades de las 179 actividades planeadas del plan anual ejecutando un avance del 60% a la fecha . Las actividades proyectadas para los siguientes meses están en evaluación de ser replanteadas para ejecutarse. Se  realiza análisis de actividades para proyectar en el plan de mantenimiento en la vigencia 2023 6. Se realizaron dos reportes de accidentes en el mes de septiembre y dos investigaciones de accidentes 7. Se realizó acercamiento con el área de control interno, el cual manifiesta que el proceso contractual para la persona que realizara la auditoria ya está en firme y la autoría está en proceso de planificación el cual tendrá evidencia desde el área en el mes de septiembre 8.Se realizó el diseño del Programa de vigilancia epidemiológica de enfermedades zoonóticas con la asesoría de ARL, se dio revisión y aprobación por parte planeación de planeación y se presentara en el próximo comité de gestión. En el PESV, se cumplió a cabalidad con las actividades programadas. Finalmente, se dio cumplimiento a la inducción programada en el tiempo establecido. Respecto al FURAG el 28 de septiembre de 2022 se llevó a cabo reunión con la OAP y entidades distritales para resolver las inquietudes presentadas frente a los compromisos FURAG y se subió al Planner de la OAP las evidencias con corte al 30 de spetimbre de 2022.</t>
    </r>
  </si>
  <si>
    <r>
      <t xml:space="preserve">EQUIPO DE GESTIÓN AMBIENTAL: </t>
    </r>
    <r>
      <rPr>
        <sz val="10"/>
        <rFont val="Arial"/>
        <family val="2"/>
      </rPr>
      <t xml:space="preserve"> Durante el mes de septiembre se realizó seguimiento al contrato de residuos peligrosos con la empresa DESCONT y a la Empresa SINPLAGAX.  Adicionalmente, se desarrollaron 11 actividades de ese PIGA; se desarrollaron actividades relacionadas con los residuos peligrosos, prácticas sostenibles, seguimiento a la PTAR,  movilidad sostenible, biciusuarios, inspecciones de las condiciones ambientales y sanitarias de la Unidad de Cuidado Animal, seguimiento ambiental y de Seguridad y Salud en el trabajo a la Unidad Distrital de atención de palomas de la plaza Usme y por último inspección del vehículo que ingreso la Unidad de Cuidado Animal para la recolección de los residuos peligrosos.</t>
    </r>
  </si>
  <si>
    <r>
      <t xml:space="preserve">EQUIPO DE GESTIÓN DOCUMENTAL:  </t>
    </r>
    <r>
      <rPr>
        <sz val="10"/>
        <rFont val="Arial"/>
        <family val="2"/>
      </rPr>
      <t>Respecto a transferencias documentales, se continua trabajando con las áreas para cumplir con todas las transferencias al culminar el año. Así las cosas en setiembre, se realizó la transferencia de dos áreas con un total de sietesubseries documentales, donde hasta el momento siete áreas han culminado el proceso de transferencias primarias en lo que va del año.
Respecto a las capacitaciones se realizó el seguimiento a la organización documental de cinco áreas, las cuales fueron: programa de captura, esteriliza y suelta, control interno disciplinario, comunicaciones, programa de animales de granja y escuadron anticrueldad, registro de identificación de caninos y felinos y fauna silvestre.
De otra parte, en septiembre se retomó el proceso de recepción de inventarios de archivos de gestión, proceso que se espera culminar en el mes de octubre</t>
    </r>
    <r>
      <rPr>
        <b/>
        <sz val="10"/>
        <rFont val="Arial"/>
        <family val="2"/>
      </rPr>
      <t>.</t>
    </r>
  </si>
  <si>
    <t>105CDP y 89CRP</t>
  </si>
  <si>
    <t xml:space="preserve"> 1216 CDP y 1134 CRP</t>
  </si>
  <si>
    <t>33 PAA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</si>
</sst>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_);_(* \(#,##0\);_(* &quot;-&quot;_);_(@_)"/>
    <numFmt numFmtId="165" formatCode="_(* #,##0.00_);_(* \(#,##0.00\);_(* &quot;-&quot;??_);_(@_)"/>
    <numFmt numFmtId="166" formatCode="_-* #,##0.00\ &quot;€&quot;_-;\-* #,##0.00\ &quot;€&quot;_-;_-* &quot;-&quot;??\ &quot;€&quot;_-;_-@_-"/>
    <numFmt numFmtId="167" formatCode="&quot;$&quot;\ #,##0_);[Red]\(&quot;$&quot;\ #,##0\)"/>
    <numFmt numFmtId="168" formatCode="_(&quot;$&quot;\ * #,##0.00_);_(&quot;$&quot;\ * \(#,##0.00\);_(&quot;$&quot;\ *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0.0"/>
    <numFmt numFmtId="176" formatCode="_(* #,##0.0_);_(* \(#,##0.0\);_(* &quot;-&quot;??_);_(@_)"/>
    <numFmt numFmtId="177" formatCode="0.0"/>
    <numFmt numFmtId="178" formatCode="0.000"/>
    <numFmt numFmtId="179" formatCode="_(* #,##0.000_);_(* \(#,##0.000\);_(* &quot;-&quot;??_);_(@_)"/>
  </numFmts>
  <fonts count="88"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0"/>
        <bgColor rgb="FF000000"/>
      </patternFill>
    </fill>
  </fills>
  <borders count="1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s>
  <cellStyleXfs count="321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5" fontId="33" fillId="0" borderId="0" applyFont="0" applyFill="0" applyBorder="0" applyAlignment="0" applyProtection="0"/>
    <xf numFmtId="164" fontId="33" fillId="0" borderId="0" applyFont="0" applyFill="0" applyBorder="0" applyAlignment="0" applyProtection="0"/>
    <xf numFmtId="41" fontId="33" fillId="0" borderId="0" applyFont="0" applyFill="0" applyBorder="0" applyAlignment="0" applyProtection="0"/>
    <xf numFmtId="165"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cellStyleXfs>
  <cellXfs count="894">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4" fontId="33" fillId="0" borderId="0" xfId="1251" applyFont="1"/>
    <xf numFmtId="164"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0" fontId="54" fillId="0" borderId="36" xfId="0" applyFont="1" applyBorder="1" applyProtection="1">
      <protection hidden="1"/>
    </xf>
    <xf numFmtId="0" fontId="54" fillId="0" borderId="13" xfId="0" applyFont="1" applyBorder="1" applyProtection="1">
      <protection hidden="1"/>
    </xf>
    <xf numFmtId="0" fontId="54" fillId="0" borderId="26" xfId="0" applyFont="1" applyBorder="1" applyProtection="1">
      <protection hidden="1"/>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4" fillId="0" borderId="152" xfId="1371" applyFont="1" applyBorder="1" applyAlignment="1" applyProtection="1">
      <alignment vertical="center" wrapText="1"/>
      <protection locked="0"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8"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59" fillId="50" borderId="152" xfId="1371" applyFont="1" applyFill="1" applyBorder="1" applyAlignment="1" applyProtection="1">
      <alignment vertical="center" wrapText="1"/>
      <protection locked="0" hidden="1"/>
    </xf>
    <xf numFmtId="0" fontId="59" fillId="50" borderId="152" xfId="1371" applyFont="1" applyFill="1" applyBorder="1" applyAlignment="1" applyProtection="1">
      <alignment horizontal="justify" vertical="center" wrapText="1"/>
      <protection locked="0" hidden="1"/>
    </xf>
    <xf numFmtId="0" fontId="8" fillId="61" borderId="152" xfId="1371" applyFont="1" applyFill="1" applyBorder="1" applyAlignment="1" applyProtection="1">
      <alignment horizontal="left" vertical="center" wrapText="1"/>
      <protection hidden="1"/>
    </xf>
    <xf numFmtId="0" fontId="70"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0" borderId="152" xfId="1371" applyFont="1" applyBorder="1" applyAlignment="1" applyProtection="1">
      <alignment vertical="center" wrapText="1"/>
      <protection locked="0" hidden="1"/>
    </xf>
    <xf numFmtId="0" fontId="59" fillId="50" borderId="152" xfId="1371" applyFont="1" applyFill="1" applyBorder="1" applyAlignment="1" applyProtection="1">
      <alignment vertical="top" wrapText="1"/>
      <protection locked="0" hidden="1"/>
    </xf>
    <xf numFmtId="0" fontId="59" fillId="50" borderId="152" xfId="1371" applyFont="1" applyFill="1" applyBorder="1" applyAlignment="1" applyProtection="1">
      <alignment horizontal="center" vertical="center"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0" fontId="51" fillId="0" borderId="0" xfId="0" applyFont="1" applyAlignment="1" applyProtection="1">
      <alignment horizontal="center" vertical="center"/>
      <protection hidden="1"/>
    </xf>
    <xf numFmtId="1" fontId="59" fillId="50" borderId="152" xfId="1371" applyNumberFormat="1" applyFont="1" applyFill="1" applyBorder="1" applyAlignment="1" applyProtection="1">
      <alignment horizontal="center" vertical="center" wrapText="1"/>
      <protection locked="0" hidden="1"/>
    </xf>
    <xf numFmtId="49" fontId="59" fillId="50" borderId="152" xfId="1371" applyNumberFormat="1" applyFont="1" applyFill="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0" fontId="59"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0" fontId="83" fillId="65" borderId="152" xfId="0" applyFont="1" applyFill="1" applyBorder="1" applyAlignment="1">
      <alignment horizontal="center" vertical="center" wrapText="1"/>
    </xf>
    <xf numFmtId="0" fontId="84" fillId="65" borderId="152" xfId="0" applyFont="1" applyFill="1" applyBorder="1" applyAlignment="1">
      <alignment horizontal="center" vertical="center" wrapText="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165" fontId="9" fillId="0" borderId="126" xfId="1250" applyFont="1" applyFill="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0" fontId="15" fillId="61" borderId="152" xfId="1371" applyFont="1" applyFill="1" applyBorder="1" applyAlignment="1" applyProtection="1">
      <alignment vertical="center" wrapText="1"/>
      <protection hidden="1"/>
    </xf>
    <xf numFmtId="2" fontId="5" fillId="0" borderId="126" xfId="1496" applyNumberFormat="1" applyFont="1" applyFill="1" applyBorder="1" applyAlignment="1" applyProtection="1">
      <alignment horizontal="center" vertical="center" wrapText="1"/>
      <protection hidden="1"/>
    </xf>
    <xf numFmtId="2" fontId="5" fillId="0" borderId="162"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9" fontId="70" fillId="0" borderId="152" xfId="0" applyNumberFormat="1" applyFont="1" applyBorder="1" applyProtection="1">
      <protection hidden="1"/>
    </xf>
    <xf numFmtId="9" fontId="70" fillId="0" borderId="152" xfId="1495" applyFont="1" applyBorder="1" applyProtection="1">
      <protection hidden="1"/>
    </xf>
    <xf numFmtId="14" fontId="12" fillId="0" borderId="152" xfId="1371" applyNumberFormat="1" applyFont="1" applyBorder="1" applyAlignment="1" applyProtection="1">
      <alignment horizontal="center" vertical="center" wrapText="1"/>
      <protection locked="0" hidden="1"/>
    </xf>
    <xf numFmtId="178" fontId="5" fillId="0" borderId="126" xfId="1496" applyNumberFormat="1" applyFont="1" applyFill="1" applyBorder="1" applyAlignment="1" applyProtection="1">
      <alignment horizontal="center" vertical="center" wrapText="1"/>
      <protection hidden="1"/>
    </xf>
    <xf numFmtId="178" fontId="9" fillId="0" borderId="126" xfId="1495" applyNumberFormat="1" applyFont="1" applyFill="1" applyBorder="1" applyAlignment="1">
      <alignment horizontal="center" vertical="center"/>
    </xf>
    <xf numFmtId="9" fontId="9" fillId="50" borderId="156" xfId="1495" applyFont="1" applyFill="1" applyBorder="1" applyAlignment="1" applyProtection="1">
      <alignment vertical="center" wrapText="1"/>
      <protection locked="0" hidden="1"/>
    </xf>
    <xf numFmtId="177" fontId="5" fillId="24" borderId="126" xfId="1496" applyNumberFormat="1" applyFont="1" applyFill="1" applyBorder="1" applyAlignment="1" applyProtection="1">
      <alignment horizontal="center" vertical="center" wrapText="1"/>
      <protection hidden="1"/>
    </xf>
    <xf numFmtId="177" fontId="5" fillId="24" borderId="162"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65" fontId="9" fillId="24" borderId="126" xfId="1250" applyFont="1" applyFill="1" applyBorder="1" applyAlignment="1" applyProtection="1">
      <alignment vertical="center" wrapText="1"/>
      <protection hidden="1"/>
    </xf>
    <xf numFmtId="1" fontId="9" fillId="24" borderId="162" xfId="1496" applyNumberFormat="1" applyFont="1" applyFill="1" applyBorder="1" applyAlignment="1" applyProtection="1">
      <alignment vertical="center" wrapText="1"/>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177" fontId="5" fillId="0" borderId="126" xfId="1496" applyNumberFormat="1" applyFont="1" applyFill="1" applyBorder="1" applyAlignment="1" applyProtection="1">
      <alignment horizontal="center" vertical="center" wrapText="1"/>
      <protection hidden="1"/>
    </xf>
    <xf numFmtId="177" fontId="5" fillId="0" borderId="162" xfId="1496" applyNumberFormat="1" applyFont="1" applyFill="1" applyBorder="1" applyAlignment="1" applyProtection="1">
      <alignment vertical="center" wrapText="1"/>
      <protection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77" fontId="5" fillId="0" borderId="162" xfId="1496" applyNumberFormat="1" applyFont="1" applyFill="1" applyBorder="1" applyAlignment="1" applyProtection="1">
      <alignment horizontal="center" vertical="center" wrapText="1"/>
      <protection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1" fontId="63" fillId="26" borderId="152" xfId="1250" applyNumberFormat="1" applyFont="1" applyFill="1" applyBorder="1" applyAlignment="1">
      <alignment horizontal="center" vertical="center"/>
    </xf>
    <xf numFmtId="165" fontId="9" fillId="26" borderId="152" xfId="1250" applyFont="1" applyFill="1" applyBorder="1" applyAlignment="1">
      <alignment horizontal="center" vertical="center"/>
    </xf>
    <xf numFmtId="171" fontId="63" fillId="60" borderId="152" xfId="1250" applyNumberFormat="1" applyFont="1" applyFill="1" applyBorder="1" applyAlignment="1">
      <alignment horizontal="center" vertical="center"/>
    </xf>
    <xf numFmtId="165"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59" fillId="0" borderId="152" xfId="0" applyFont="1" applyBorder="1" applyAlignment="1" applyProtection="1">
      <alignment horizontal="center" vertical="center"/>
      <protection hidden="1"/>
    </xf>
    <xf numFmtId="0" fontId="83" fillId="0" borderId="155" xfId="0" applyFont="1" applyBorder="1" applyAlignment="1">
      <alignment horizontal="justify" vertical="center" wrapText="1"/>
    </xf>
    <xf numFmtId="0" fontId="0" fillId="0" borderId="113" xfId="0" applyBorder="1" applyAlignment="1">
      <alignment horizontal="justify" vertical="center" wrapText="1"/>
    </xf>
    <xf numFmtId="0" fontId="83" fillId="0" borderId="159" xfId="0" applyFont="1" applyBorder="1" applyAlignment="1">
      <alignment horizontal="justify" vertical="center" wrapText="1"/>
    </xf>
    <xf numFmtId="0" fontId="0" fillId="0" borderId="0" xfId="0" applyAlignment="1">
      <alignment horizontal="justify" vertical="center" wrapText="1"/>
    </xf>
    <xf numFmtId="0" fontId="83" fillId="0" borderId="13" xfId="0" applyFont="1" applyBorder="1" applyAlignment="1">
      <alignment horizontal="justify" vertical="center" wrapText="1"/>
    </xf>
    <xf numFmtId="0" fontId="83" fillId="0" borderId="0" xfId="0" applyFont="1" applyAlignment="1">
      <alignment horizontal="justify" vertical="center" wrapText="1"/>
    </xf>
    <xf numFmtId="0" fontId="83" fillId="0" borderId="32" xfId="0" applyFont="1" applyBorder="1" applyAlignment="1">
      <alignment horizontal="justify" vertical="center" wrapText="1"/>
    </xf>
    <xf numFmtId="0" fontId="83" fillId="0" borderId="18" xfId="0" applyFont="1" applyBorder="1" applyAlignment="1">
      <alignment horizontal="justify" vertical="center" wrapText="1"/>
    </xf>
    <xf numFmtId="0" fontId="83" fillId="0" borderId="152" xfId="0" applyFont="1" applyBorder="1" applyAlignment="1">
      <alignment horizontal="center" vertical="center" wrapText="1"/>
    </xf>
    <xf numFmtId="0" fontId="83" fillId="66" borderId="152" xfId="0" applyFont="1" applyFill="1" applyBorder="1" applyAlignment="1">
      <alignment horizontal="center" vertical="center" wrapText="1"/>
    </xf>
    <xf numFmtId="0" fontId="12" fillId="65" borderId="152" xfId="0" applyFont="1" applyFill="1" applyBorder="1" applyAlignment="1">
      <alignment horizontal="center" vertical="center" wrapText="1"/>
    </xf>
    <xf numFmtId="43" fontId="51" fillId="0" borderId="0" xfId="0" applyNumberFormat="1" applyFont="1" applyProtection="1">
      <protection hidden="1"/>
    </xf>
    <xf numFmtId="0" fontId="83" fillId="57" borderId="152" xfId="0" applyFont="1" applyFill="1" applyBorder="1" applyAlignment="1">
      <alignment horizontal="center" vertical="center" wrapText="1"/>
    </xf>
    <xf numFmtId="0" fontId="83" fillId="50" borderId="152" xfId="0" applyFont="1" applyFill="1" applyBorder="1" applyAlignment="1">
      <alignment horizontal="center" vertical="center" wrapText="1"/>
    </xf>
    <xf numFmtId="0" fontId="83" fillId="50" borderId="152" xfId="0" applyFont="1" applyFill="1" applyBorder="1" applyAlignment="1">
      <alignment horizontal="center" vertical="center"/>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70" fontId="5" fillId="50" borderId="155" xfId="0" applyNumberFormat="1" applyFont="1" applyFill="1" applyBorder="1" applyAlignment="1" applyProtection="1">
      <alignment horizontal="center" vertical="center" wrapText="1"/>
      <protection hidden="1"/>
    </xf>
    <xf numFmtId="170" fontId="5" fillId="50" borderId="159" xfId="0" applyNumberFormat="1"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horizontal="center" vertical="center" wrapText="1"/>
      <protection hidden="1"/>
    </xf>
    <xf numFmtId="170" fontId="5" fillId="50" borderId="18" xfId="0" applyNumberFormat="1" applyFont="1" applyFill="1" applyBorder="1" applyAlignment="1" applyProtection="1">
      <alignment horizontal="center" vertical="center" wrapText="1"/>
      <protection hidden="1"/>
    </xf>
    <xf numFmtId="0" fontId="5" fillId="0" borderId="152" xfId="0" applyFont="1" applyBorder="1" applyAlignment="1" applyProtection="1">
      <alignment horizontal="center" vertical="center" wrapText="1"/>
      <protection hidden="1"/>
    </xf>
    <xf numFmtId="0" fontId="5" fillId="50" borderId="152" xfId="0" applyFont="1" applyFill="1" applyBorder="1" applyAlignment="1" applyProtection="1">
      <alignment horizontal="center" vertical="center" wrapText="1"/>
      <protection hidden="1"/>
    </xf>
    <xf numFmtId="170" fontId="5" fillId="50" borderId="156" xfId="0" applyNumberFormat="1" applyFont="1" applyFill="1" applyBorder="1" applyAlignment="1" applyProtection="1">
      <alignment vertical="center" wrapText="1"/>
      <protection hidden="1"/>
    </xf>
    <xf numFmtId="170" fontId="5" fillId="50" borderId="15" xfId="0" applyNumberFormat="1" applyFont="1" applyFill="1" applyBorder="1" applyAlignment="1" applyProtection="1">
      <alignment vertical="center" wrapText="1"/>
      <protection hidden="1"/>
    </xf>
    <xf numFmtId="0" fontId="15" fillId="0" borderId="152" xfId="0" applyFont="1" applyBorder="1" applyAlignment="1" applyProtection="1">
      <alignment horizontal="center" vertical="center" wrapText="1"/>
      <protection hidden="1"/>
    </xf>
    <xf numFmtId="170" fontId="15" fillId="50" borderId="156" xfId="0" applyNumberFormat="1" applyFont="1" applyFill="1" applyBorder="1" applyAlignment="1" applyProtection="1">
      <alignment vertical="center" wrapText="1"/>
      <protection hidden="1"/>
    </xf>
    <xf numFmtId="170" fontId="15" fillId="50" borderId="15" xfId="0" applyNumberFormat="1" applyFont="1" applyFill="1" applyBorder="1" applyAlignment="1" applyProtection="1">
      <alignment vertical="center" wrapText="1"/>
      <protection hidden="1"/>
    </xf>
    <xf numFmtId="170" fontId="5" fillId="0" borderId="152" xfId="0" applyNumberFormat="1" applyFont="1" applyBorder="1" applyAlignment="1" applyProtection="1">
      <alignment horizontal="center"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0" fontId="5" fillId="51" borderId="156" xfId="0" applyNumberFormat="1" applyFont="1" applyFill="1" applyBorder="1" applyAlignment="1" applyProtection="1">
      <alignment vertical="center" wrapText="1"/>
      <protection hidden="1"/>
    </xf>
    <xf numFmtId="170" fontId="5" fillId="51" borderId="15" xfId="0" applyNumberFormat="1" applyFont="1" applyFill="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0" fontId="15" fillId="55" borderId="156" xfId="0" applyNumberFormat="1" applyFont="1" applyFill="1" applyBorder="1" applyAlignment="1" applyProtection="1">
      <alignment horizontal="center" vertical="center" wrapText="1"/>
      <protection hidden="1"/>
    </xf>
    <xf numFmtId="170" fontId="15" fillId="55" borderId="15" xfId="0" applyNumberFormat="1" applyFont="1" applyFill="1" applyBorder="1" applyAlignment="1" applyProtection="1">
      <alignment horizontal="center" vertical="center" wrapText="1"/>
      <protection hidden="1"/>
    </xf>
    <xf numFmtId="170" fontId="70" fillId="50" borderId="155" xfId="0" applyNumberFormat="1" applyFont="1" applyFill="1" applyBorder="1" applyAlignment="1" applyProtection="1">
      <alignment horizontal="center" vertical="center" wrapText="1"/>
      <protection hidden="1"/>
    </xf>
    <xf numFmtId="170" fontId="70" fillId="50" borderId="159" xfId="0" applyNumberFormat="1" applyFont="1" applyFill="1" applyBorder="1" applyAlignment="1" applyProtection="1">
      <alignment horizontal="center" vertical="center" wrapText="1"/>
      <protection hidden="1"/>
    </xf>
    <xf numFmtId="170" fontId="70" fillId="50" borderId="17" xfId="0" applyNumberFormat="1" applyFont="1" applyFill="1" applyBorder="1" applyAlignment="1" applyProtection="1">
      <alignment horizontal="center" vertical="center" wrapText="1"/>
      <protection hidden="1"/>
    </xf>
    <xf numFmtId="170" fontId="70" fillId="50" borderId="18" xfId="0" applyNumberFormat="1" applyFont="1" applyFill="1" applyBorder="1" applyAlignment="1" applyProtection="1">
      <alignment horizontal="center" vertical="center" wrapText="1"/>
      <protection hidden="1"/>
    </xf>
    <xf numFmtId="170" fontId="71" fillId="55" borderId="156" xfId="0" applyNumberFormat="1" applyFont="1" applyFill="1" applyBorder="1" applyAlignment="1" applyProtection="1">
      <alignment horizontal="center" vertical="center" wrapText="1"/>
      <protection hidden="1"/>
    </xf>
    <xf numFmtId="170" fontId="71" fillId="55" borderId="15" xfId="0" applyNumberFormat="1" applyFont="1" applyFill="1" applyBorder="1" applyAlignment="1" applyProtection="1">
      <alignment horizontal="center" vertical="center" wrapText="1"/>
      <protection hidden="1"/>
    </xf>
    <xf numFmtId="171" fontId="15" fillId="0" borderId="156" xfId="1250" applyNumberFormat="1" applyFont="1" applyFill="1" applyBorder="1" applyAlignment="1" applyProtection="1">
      <alignment vertical="center" wrapText="1"/>
      <protection hidden="1"/>
    </xf>
    <xf numFmtId="171" fontId="15" fillId="0" borderId="15" xfId="1250" applyNumberFormat="1" applyFont="1" applyFill="1" applyBorder="1" applyAlignment="1" applyProtection="1">
      <alignment vertical="center" wrapText="1"/>
      <protection hidden="1"/>
    </xf>
    <xf numFmtId="165" fontId="5" fillId="0" borderId="156" xfId="1250" applyFont="1" applyFill="1" applyBorder="1" applyAlignment="1" applyProtection="1">
      <alignment horizontal="center" vertical="center" wrapText="1"/>
      <protection hidden="1"/>
    </xf>
    <xf numFmtId="165" fontId="5" fillId="0" borderId="15" xfId="1250"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65" fontId="15" fillId="0" borderId="156" xfId="1250" applyFont="1" applyFill="1" applyBorder="1" applyAlignment="1" applyProtection="1">
      <alignment vertical="center" wrapText="1"/>
      <protection hidden="1"/>
    </xf>
    <xf numFmtId="165" fontId="15" fillId="0" borderId="15" xfId="1250" applyFont="1" applyFill="1" applyBorder="1" applyAlignment="1" applyProtection="1">
      <alignment vertical="center" wrapText="1"/>
      <protection hidden="1"/>
    </xf>
    <xf numFmtId="165" fontId="15" fillId="50" borderId="156" xfId="1250" applyFont="1" applyFill="1" applyBorder="1" applyAlignment="1" applyProtection="1">
      <alignment vertical="center" wrapText="1"/>
      <protection hidden="1"/>
    </xf>
    <xf numFmtId="165" fontId="15" fillId="50" borderId="15" xfId="1250" applyFont="1" applyFill="1" applyBorder="1" applyAlignment="1" applyProtection="1">
      <alignment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2" fontId="15" fillId="55" borderId="156" xfId="1251" applyNumberFormat="1" applyFont="1" applyFill="1" applyBorder="1" applyAlignment="1" applyProtection="1">
      <alignment horizontal="center" vertical="center" wrapText="1"/>
      <protection hidden="1"/>
    </xf>
    <xf numFmtId="172" fontId="15" fillId="55" borderId="15" xfId="1251" applyNumberFormat="1" applyFont="1" applyFill="1" applyBorder="1" applyAlignment="1" applyProtection="1">
      <alignment horizontal="center" vertical="center" wrapText="1"/>
      <protection hidden="1"/>
    </xf>
    <xf numFmtId="0" fontId="71" fillId="0" borderId="152" xfId="0" applyFont="1" applyBorder="1" applyAlignment="1" applyProtection="1">
      <alignment horizontal="center" vertical="center" wrapText="1"/>
      <protection locked="0"/>
    </xf>
    <xf numFmtId="171" fontId="15" fillId="50" borderId="156" xfId="1250" applyNumberFormat="1" applyFont="1" applyFill="1" applyBorder="1" applyAlignment="1" applyProtection="1">
      <alignment vertical="center" wrapText="1"/>
      <protection hidden="1"/>
    </xf>
    <xf numFmtId="171" fontId="15" fillId="50" borderId="15" xfId="1250" applyNumberFormat="1" applyFont="1" applyFill="1" applyBorder="1" applyAlignment="1" applyProtection="1">
      <alignment vertical="center" wrapText="1"/>
      <protection hidden="1"/>
    </xf>
    <xf numFmtId="171" fontId="15" fillId="51" borderId="156" xfId="1250" applyNumberFormat="1" applyFont="1" applyFill="1" applyBorder="1" applyAlignment="1" applyProtection="1">
      <alignment vertical="center" wrapText="1"/>
      <protection hidden="1"/>
    </xf>
    <xf numFmtId="171" fontId="15" fillId="51"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171" fontId="15" fillId="0" borderId="152" xfId="1250" applyNumberFormat="1" applyFont="1" applyFill="1" applyBorder="1" applyAlignment="1" applyProtection="1">
      <alignment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165" fontId="15" fillId="51" borderId="156" xfId="1250" applyFont="1" applyFill="1" applyBorder="1" applyAlignment="1" applyProtection="1">
      <alignment vertical="center" wrapText="1"/>
      <protection hidden="1"/>
    </xf>
    <xf numFmtId="165" fontId="15" fillId="51"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0" fontId="9" fillId="50" borderId="152"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0" fontId="9" fillId="0" borderId="126" xfId="1496" applyNumberFormat="1" applyFont="1" applyFill="1" applyBorder="1" applyAlignment="1">
      <alignment horizontal="center" vertical="center" wrapText="1"/>
    </xf>
    <xf numFmtId="170" fontId="9" fillId="0" borderId="127" xfId="1496" applyNumberFormat="1" applyFont="1" applyFill="1" applyBorder="1" applyAlignment="1">
      <alignment horizontal="center" vertical="center" wrapText="1"/>
    </xf>
    <xf numFmtId="170"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3"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50" borderId="162" xfId="1371" applyFont="1" applyFill="1" applyBorder="1" applyAlignment="1">
      <alignment horizontal="center" vertical="center"/>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70" fillId="50" borderId="126" xfId="1371" applyFont="1" applyFill="1" applyBorder="1" applyAlignment="1" applyProtection="1">
      <alignment horizontal="justify" vertical="center" wrapText="1"/>
      <protection locked="0" hidden="1"/>
    </xf>
    <xf numFmtId="0" fontId="70" fillId="50" borderId="127" xfId="1371" applyFont="1" applyFill="1" applyBorder="1" applyAlignment="1" applyProtection="1">
      <alignment horizontal="justify" vertical="center" wrapText="1"/>
      <protection locked="0" hidden="1"/>
    </xf>
    <xf numFmtId="0" fontId="70" fillId="50" borderId="162" xfId="1371" applyFont="1" applyFill="1" applyBorder="1" applyAlignment="1" applyProtection="1">
      <alignment horizontal="justify" vertical="center"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12" fillId="0" borderId="50" xfId="1371" applyFont="1" applyBorder="1" applyAlignment="1" applyProtection="1">
      <alignment horizontal="center" vertical="center" wrapText="1"/>
      <protection locked="0" hidden="1"/>
    </xf>
    <xf numFmtId="0" fontId="12" fillId="0" borderId="51"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5" fillId="50" borderId="126" xfId="1371" applyFont="1" applyFill="1" applyBorder="1" applyAlignment="1" applyProtection="1">
      <alignment horizontal="justify" vertical="center" wrapText="1"/>
      <protection locked="0" hidden="1"/>
    </xf>
    <xf numFmtId="0" fontId="5" fillId="50" borderId="127" xfId="1371" applyFont="1" applyFill="1" applyBorder="1" applyAlignment="1" applyProtection="1">
      <alignment horizontal="justify" vertical="center" wrapText="1"/>
      <protection locked="0" hidden="1"/>
    </xf>
    <xf numFmtId="0" fontId="5" fillId="50" borderId="162" xfId="1371" applyFont="1" applyFill="1" applyBorder="1" applyAlignment="1" applyProtection="1">
      <alignment horizontal="justify" vertical="center" wrapText="1"/>
      <protection locked="0"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0" fontId="5" fillId="0" borderId="126" xfId="137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0" fontId="59" fillId="50" borderId="126" xfId="1371" applyFont="1" applyFill="1" applyBorder="1" applyAlignment="1" applyProtection="1">
      <alignment horizontal="left" vertical="center" wrapText="1"/>
      <protection locked="0" hidden="1"/>
    </xf>
    <xf numFmtId="0" fontId="59" fillId="50" borderId="127" xfId="1371" applyFont="1" applyFill="1" applyBorder="1" applyAlignment="1" applyProtection="1">
      <alignment horizontal="left" vertical="center" wrapText="1"/>
      <protection locked="0" hidden="1"/>
    </xf>
    <xf numFmtId="0" fontId="59" fillId="50" borderId="162" xfId="1371" applyFont="1" applyFill="1" applyBorder="1" applyAlignment="1" applyProtection="1">
      <alignment horizontal="left"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165" fontId="5" fillId="50" borderId="156" xfId="1250" applyFont="1" applyFill="1" applyBorder="1" applyAlignment="1" applyProtection="1">
      <alignment horizontal="center" vertical="center" wrapText="1"/>
      <protection locked="0" hidden="1"/>
    </xf>
    <xf numFmtId="165" fontId="5" fillId="50" borderId="23" xfId="1250" applyFont="1" applyFill="1" applyBorder="1" applyAlignment="1" applyProtection="1">
      <alignment horizontal="center" vertical="center" wrapText="1"/>
      <protection locked="0" hidden="1"/>
    </xf>
    <xf numFmtId="165" fontId="5" fillId="50" borderId="15" xfId="1250" applyFont="1" applyFill="1" applyBorder="1" applyAlignment="1" applyProtection="1">
      <alignment horizontal="center" vertical="center" wrapText="1"/>
      <protection locked="0" hidden="1"/>
    </xf>
    <xf numFmtId="14" fontId="5" fillId="0" borderId="126" xfId="1371" applyNumberFormat="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5" fontId="5" fillId="0" borderId="126" xfId="1496" applyNumberFormat="1" applyFont="1" applyFill="1" applyBorder="1" applyAlignment="1" applyProtection="1">
      <alignment horizontal="center" vertical="center" wrapText="1"/>
      <protection hidden="1"/>
    </xf>
    <xf numFmtId="175" fontId="5" fillId="0" borderId="127" xfId="1496" applyNumberFormat="1" applyFont="1" applyFill="1" applyBorder="1" applyAlignment="1" applyProtection="1">
      <alignment horizontal="center" vertical="center" wrapText="1"/>
      <protection hidden="1"/>
    </xf>
    <xf numFmtId="175" fontId="5" fillId="0" borderId="162" xfId="1496" applyNumberFormat="1" applyFont="1" applyFill="1" applyBorder="1" applyAlignment="1" applyProtection="1">
      <alignment horizontal="center" vertical="center" wrapText="1"/>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76" fillId="0" borderId="152" xfId="1371" applyFont="1" applyBorder="1" applyAlignment="1" applyProtection="1">
      <alignment horizontal="center" vertical="center"/>
      <protection hidden="1"/>
    </xf>
    <xf numFmtId="0" fontId="76"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57"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5" fillId="0" borderId="152" xfId="0" applyFont="1" applyBorder="1" applyAlignment="1" applyProtection="1">
      <alignment horizontal="center" vertical="center" wrapText="1"/>
      <protection locked="0" hidden="1"/>
    </xf>
    <xf numFmtId="0" fontId="75" fillId="0" borderId="50" xfId="0" applyFont="1" applyBorder="1" applyAlignment="1" applyProtection="1">
      <alignment horizontal="center" vertical="center" wrapText="1"/>
      <protection locked="0" hidden="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165" fontId="9" fillId="50" borderId="156" xfId="1250" applyFont="1" applyFill="1" applyBorder="1" applyAlignment="1" applyProtection="1">
      <alignment horizontal="center" vertical="center" wrapText="1"/>
      <protection locked="0" hidden="1"/>
    </xf>
    <xf numFmtId="165" fontId="9" fillId="50" borderId="23" xfId="1250" applyFont="1" applyFill="1" applyBorder="1" applyAlignment="1" applyProtection="1">
      <alignment horizontal="center" vertical="center" wrapText="1"/>
      <protection locked="0" hidden="1"/>
    </xf>
    <xf numFmtId="165" fontId="9" fillId="50" borderId="15" xfId="1250" applyFont="1" applyFill="1" applyBorder="1" applyAlignment="1" applyProtection="1">
      <alignment horizontal="center" vertical="center" wrapText="1"/>
      <protection locked="0" hidden="1"/>
    </xf>
    <xf numFmtId="2" fontId="9" fillId="50" borderId="154" xfId="1495" applyNumberFormat="1" applyFont="1" applyFill="1" applyBorder="1" applyAlignment="1" applyProtection="1">
      <alignment horizontal="center" vertical="center" wrapText="1"/>
      <protection locked="0" hidden="1"/>
    </xf>
    <xf numFmtId="2" fontId="9" fillId="50" borderId="47" xfId="1495" applyNumberFormat="1" applyFont="1" applyFill="1" applyBorder="1" applyAlignment="1" applyProtection="1">
      <alignment horizontal="center" vertical="center" wrapText="1"/>
      <protection locked="0" hidden="1"/>
    </xf>
    <xf numFmtId="2" fontId="9" fillId="50" borderId="48" xfId="1495" applyNumberFormat="1" applyFont="1" applyFill="1" applyBorder="1" applyAlignment="1" applyProtection="1">
      <alignment horizontal="center" vertical="center" wrapText="1"/>
      <protection locked="0" hidden="1"/>
    </xf>
    <xf numFmtId="0" fontId="70" fillId="0" borderId="126" xfId="1371" applyFont="1" applyBorder="1" applyAlignment="1" applyProtection="1">
      <alignment horizontal="justify" vertical="center" wrapText="1"/>
      <protection locked="0" hidden="1"/>
    </xf>
    <xf numFmtId="0" fontId="70" fillId="0" borderId="127" xfId="1371" applyFont="1" applyBorder="1" applyAlignment="1" applyProtection="1">
      <alignment horizontal="justify" vertical="center" wrapText="1"/>
      <protection locked="0" hidden="1"/>
    </xf>
    <xf numFmtId="0" fontId="70" fillId="0" borderId="162" xfId="1371" applyFont="1" applyBorder="1" applyAlignment="1" applyProtection="1">
      <alignment horizontal="justify" vertical="center" wrapText="1"/>
      <protection locked="0" hidden="1"/>
    </xf>
    <xf numFmtId="0" fontId="70" fillId="50" borderId="126" xfId="1371" applyFont="1" applyFill="1" applyBorder="1" applyAlignment="1" applyProtection="1">
      <alignment horizontal="center" vertical="center" wrapText="1"/>
      <protection locked="0" hidden="1"/>
    </xf>
    <xf numFmtId="0" fontId="70" fillId="50" borderId="127" xfId="1371" applyFont="1" applyFill="1" applyBorder="1" applyAlignment="1" applyProtection="1">
      <alignment horizontal="center" vertical="center" wrapText="1"/>
      <protection locked="0" hidden="1"/>
    </xf>
    <xf numFmtId="0" fontId="70" fillId="50" borderId="162" xfId="1371" applyFont="1" applyFill="1" applyBorder="1" applyAlignment="1" applyProtection="1">
      <alignment horizontal="center" vertical="center" wrapText="1"/>
      <protection locked="0" hidden="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2" fillId="65" borderId="155" xfId="0" applyFont="1" applyFill="1" applyBorder="1" applyAlignment="1">
      <alignment horizontal="center" vertical="center" wrapText="1"/>
    </xf>
    <xf numFmtId="0" fontId="82" fillId="65" borderId="159" xfId="0" applyFont="1" applyFill="1" applyBorder="1" applyAlignment="1">
      <alignment horizontal="center" vertical="center" wrapText="1"/>
    </xf>
    <xf numFmtId="0" fontId="82" fillId="65" borderId="160" xfId="0" applyFont="1" applyFill="1" applyBorder="1" applyAlignment="1">
      <alignment horizontal="center" vertical="center" wrapText="1"/>
    </xf>
    <xf numFmtId="0" fontId="82" fillId="65" borderId="113" xfId="0" applyFont="1" applyFill="1" applyBorder="1" applyAlignment="1">
      <alignment horizontal="center" vertical="center" wrapText="1"/>
    </xf>
    <xf numFmtId="0" fontId="82" fillId="65" borderId="0" xfId="0" applyFont="1" applyFill="1" applyAlignment="1">
      <alignment horizontal="center" vertical="center" wrapText="1"/>
    </xf>
    <xf numFmtId="0" fontId="82" fillId="65" borderId="16" xfId="0" applyFont="1" applyFill="1" applyBorder="1" applyAlignment="1">
      <alignment horizontal="center" vertical="center" wrapText="1"/>
    </xf>
    <xf numFmtId="0" fontId="82" fillId="65" borderId="17" xfId="0" applyFont="1" applyFill="1" applyBorder="1" applyAlignment="1">
      <alignment horizontal="center" vertical="center" wrapText="1"/>
    </xf>
    <xf numFmtId="0" fontId="82" fillId="65" borderId="18" xfId="0" applyFont="1" applyFill="1" applyBorder="1" applyAlignment="1">
      <alignment horizontal="center" vertical="center" wrapText="1"/>
    </xf>
    <xf numFmtId="0" fontId="82" fillId="65" borderId="19" xfId="0" applyFont="1" applyFill="1" applyBorder="1" applyAlignment="1">
      <alignment horizontal="center" vertical="center" wrapText="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75" fillId="0" borderId="20" xfId="0" applyFont="1" applyBorder="1" applyAlignment="1" applyProtection="1">
      <alignment horizontal="center" vertical="center" wrapText="1"/>
      <protection locked="0" hidden="1"/>
    </xf>
    <xf numFmtId="0" fontId="59" fillId="50" borderId="126" xfId="1371" applyFont="1" applyFill="1" applyBorder="1" applyAlignment="1" applyProtection="1">
      <alignment horizontal="justify" vertical="center" wrapText="1"/>
      <protection locked="0"/>
    </xf>
    <xf numFmtId="0" fontId="59" fillId="50" borderId="127" xfId="1371" applyFont="1" applyFill="1" applyBorder="1" applyAlignment="1" applyProtection="1">
      <alignment horizontal="justify" vertical="center" wrapText="1"/>
      <protection locked="0"/>
    </xf>
    <xf numFmtId="0" fontId="59" fillId="50" borderId="161" xfId="1371" applyFont="1" applyFill="1" applyBorder="1" applyAlignment="1" applyProtection="1">
      <alignment horizontal="justify" vertical="center" wrapText="1"/>
      <protection locked="0"/>
    </xf>
    <xf numFmtId="0" fontId="54" fillId="50" borderId="126" xfId="1371" applyFont="1" applyFill="1" applyBorder="1" applyAlignment="1" applyProtection="1">
      <alignment horizontal="justify" vertical="center" wrapText="1"/>
      <protection locked="0"/>
    </xf>
    <xf numFmtId="0" fontId="54" fillId="50" borderId="127" xfId="1371" applyFont="1" applyFill="1" applyBorder="1" applyAlignment="1" applyProtection="1">
      <alignment horizontal="justify" vertical="center" wrapText="1"/>
      <protection locked="0"/>
    </xf>
    <xf numFmtId="0" fontId="54" fillId="50" borderId="161" xfId="1371" applyFont="1" applyFill="1" applyBorder="1" applyAlignment="1" applyProtection="1">
      <alignment horizontal="justify" vertical="center"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12" fillId="0" borderId="126" xfId="1371" applyFont="1" applyBorder="1" applyAlignment="1" applyProtection="1">
      <alignment horizontal="center" vertical="center" wrapText="1"/>
      <protection locked="0"/>
    </xf>
    <xf numFmtId="0" fontId="12" fillId="0" borderId="127" xfId="1371" applyFont="1" applyBorder="1" applyAlignment="1" applyProtection="1">
      <alignment horizontal="center" vertical="center" wrapText="1"/>
      <protection locked="0"/>
    </xf>
    <xf numFmtId="0" fontId="12" fillId="0" borderId="162" xfId="1371" applyFont="1" applyBorder="1" applyAlignment="1" applyProtection="1">
      <alignment horizontal="center" vertical="center" wrapText="1"/>
      <protection locked="0"/>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176" fontId="5" fillId="24" borderId="126" xfId="1250" applyNumberFormat="1" applyFont="1" applyFill="1" applyBorder="1" applyAlignment="1" applyProtection="1">
      <alignment horizontal="center" vertical="center" wrapText="1"/>
      <protection hidden="1"/>
    </xf>
    <xf numFmtId="176" fontId="5" fillId="24" borderId="127" xfId="1250" applyNumberFormat="1" applyFont="1" applyFill="1" applyBorder="1" applyAlignment="1" applyProtection="1">
      <alignment horizontal="center" vertical="center" wrapText="1"/>
      <protection hidden="1"/>
    </xf>
    <xf numFmtId="176" fontId="5" fillId="24" borderId="162" xfId="1250" applyNumberFormat="1" applyFont="1" applyFill="1" applyBorder="1" applyAlignment="1" applyProtection="1">
      <alignment horizontal="center" vertical="center" wrapText="1"/>
      <protection hidden="1"/>
    </xf>
    <xf numFmtId="0" fontId="76" fillId="0" borderId="152" xfId="1371" applyFont="1" applyBorder="1" applyAlignment="1" applyProtection="1">
      <alignment horizontal="center" vertical="center" wrapText="1"/>
      <protection hidden="1"/>
    </xf>
    <xf numFmtId="0" fontId="76" fillId="0" borderId="153" xfId="1371" applyFont="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0" fontId="57" fillId="0" borderId="152" xfId="0" applyFont="1" applyBorder="1" applyAlignment="1" applyProtection="1">
      <alignment horizontal="center" vertical="center" wrapText="1"/>
      <protection locked="0"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8" fillId="61" borderId="32" xfId="1371" applyFont="1" applyFill="1" applyBorder="1" applyAlignment="1" applyProtection="1">
      <alignment horizontal="center" vertical="center" wrapText="1"/>
      <protection hidden="1"/>
    </xf>
    <xf numFmtId="0" fontId="59" fillId="0" borderId="159" xfId="1371" applyFont="1" applyBorder="1" applyAlignment="1" applyProtection="1">
      <alignment horizontal="center" vertical="center" wrapText="1"/>
      <protection hidden="1"/>
    </xf>
    <xf numFmtId="0" fontId="59" fillId="0" borderId="160" xfId="1371" applyFont="1" applyBorder="1" applyAlignment="1" applyProtection="1">
      <alignment horizontal="center" vertical="center" wrapText="1"/>
      <protection hidden="1"/>
    </xf>
    <xf numFmtId="0" fontId="59" fillId="0" borderId="0" xfId="1371" applyFont="1" applyAlignment="1" applyProtection="1">
      <alignment horizontal="center" vertical="center" wrapText="1"/>
      <protection hidden="1"/>
    </xf>
    <xf numFmtId="0" fontId="59" fillId="0" borderId="16" xfId="1371" applyFont="1" applyBorder="1" applyAlignment="1" applyProtection="1">
      <alignment horizontal="center" vertical="center" wrapText="1"/>
      <protection hidden="1"/>
    </xf>
    <xf numFmtId="0" fontId="59" fillId="0" borderId="18" xfId="1371" applyFont="1" applyBorder="1" applyAlignment="1" applyProtection="1">
      <alignment horizontal="center" vertical="center" wrapText="1"/>
      <protection hidden="1"/>
    </xf>
    <xf numFmtId="0" fontId="59" fillId="0" borderId="19" xfId="1371" applyFont="1" applyBorder="1" applyAlignment="1" applyProtection="1">
      <alignment horizontal="center" vertical="center" wrapText="1"/>
      <protection hidden="1"/>
    </xf>
    <xf numFmtId="0" fontId="9" fillId="0" borderId="126" xfId="1371" applyFont="1" applyBorder="1" applyAlignment="1" applyProtection="1">
      <alignment horizontal="center" vertical="center" wrapText="1"/>
      <protection locked="0" hidden="1"/>
    </xf>
    <xf numFmtId="0" fontId="9" fillId="0" borderId="127" xfId="1371" applyFont="1" applyBorder="1" applyAlignment="1" applyProtection="1">
      <alignment horizontal="center" vertical="center" wrapText="1"/>
      <protection locked="0" hidden="1"/>
    </xf>
    <xf numFmtId="0" fontId="9" fillId="0" borderId="162" xfId="1371" applyFont="1" applyBorder="1" applyAlignment="1" applyProtection="1">
      <alignment horizontal="center" vertical="center" wrapText="1"/>
      <protection locked="0" hidden="1"/>
    </xf>
    <xf numFmtId="0" fontId="59" fillId="50" borderId="126" xfId="1371" applyFont="1" applyFill="1" applyBorder="1" applyAlignment="1" applyProtection="1">
      <alignment horizontal="justify" vertical="top" wrapText="1"/>
      <protection locked="0" hidden="1"/>
    </xf>
    <xf numFmtId="0" fontId="59" fillId="50" borderId="127" xfId="1371" applyFont="1" applyFill="1" applyBorder="1" applyAlignment="1" applyProtection="1">
      <alignment horizontal="justify" vertical="top" wrapText="1"/>
      <protection locked="0" hidden="1"/>
    </xf>
    <xf numFmtId="0" fontId="59" fillId="50" borderId="162" xfId="1371" applyFont="1" applyFill="1" applyBorder="1" applyAlignment="1" applyProtection="1">
      <alignment horizontal="justify" vertical="top" wrapText="1"/>
      <protection locked="0"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0" fontId="9" fillId="0" borderId="126" xfId="137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65" fontId="4" fillId="50" borderId="154" xfId="1250" applyFont="1" applyFill="1" applyBorder="1" applyAlignment="1" applyProtection="1">
      <alignment horizontal="center" vertical="center" wrapText="1"/>
      <protection locked="0" hidden="1"/>
    </xf>
    <xf numFmtId="165" fontId="4" fillId="50" borderId="47" xfId="1250" applyFont="1" applyFill="1" applyBorder="1" applyAlignment="1" applyProtection="1">
      <alignment horizontal="center" vertical="center" wrapText="1"/>
      <protection locked="0" hidden="1"/>
    </xf>
    <xf numFmtId="165" fontId="4" fillId="50" borderId="48" xfId="1250" applyFont="1" applyFill="1" applyBorder="1" applyAlignment="1" applyProtection="1">
      <alignment horizontal="center" vertical="center" wrapText="1"/>
      <protection locked="0" hidden="1"/>
    </xf>
    <xf numFmtId="14" fontId="9" fillId="0" borderId="126" xfId="1371" applyNumberFormat="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24" borderId="126" xfId="1495" applyFont="1" applyFill="1" applyBorder="1" applyAlignment="1" applyProtection="1">
      <alignment horizontal="center" vertical="center" wrapText="1"/>
      <protection hidden="1"/>
    </xf>
    <xf numFmtId="9" fontId="9" fillId="24" borderId="127" xfId="1495" applyFont="1" applyFill="1" applyBorder="1" applyAlignment="1" applyProtection="1">
      <alignment horizontal="center" vertical="center" wrapText="1"/>
      <protection hidden="1"/>
    </xf>
    <xf numFmtId="9" fontId="9" fillId="24" borderId="162" xfId="1495" applyFont="1" applyFill="1" applyBorder="1" applyAlignment="1" applyProtection="1">
      <alignment horizontal="center" vertical="center" wrapText="1"/>
      <protection hidden="1"/>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0" fontId="59" fillId="50" borderId="155" xfId="1371" applyFont="1" applyFill="1" applyBorder="1" applyAlignment="1" applyProtection="1">
      <alignment horizontal="left" vertical="top" wrapText="1"/>
      <protection locked="0" hidden="1"/>
    </xf>
    <xf numFmtId="0" fontId="59" fillId="50" borderId="159" xfId="1371" applyFont="1" applyFill="1" applyBorder="1" applyAlignment="1" applyProtection="1">
      <alignment horizontal="left" vertical="top" wrapText="1"/>
      <protection locked="0" hidden="1"/>
    </xf>
    <xf numFmtId="0" fontId="59" fillId="50" borderId="160" xfId="1371" applyFont="1" applyFill="1" applyBorder="1" applyAlignment="1" applyProtection="1">
      <alignment horizontal="left" vertical="top" wrapText="1"/>
      <protection locked="0" hidden="1"/>
    </xf>
    <xf numFmtId="0" fontId="59" fillId="50" borderId="113" xfId="1371" applyFont="1" applyFill="1" applyBorder="1" applyAlignment="1" applyProtection="1">
      <alignment horizontal="left" vertical="top" wrapText="1"/>
      <protection locked="0" hidden="1"/>
    </xf>
    <xf numFmtId="0" fontId="59" fillId="50" borderId="0" xfId="1371" applyFont="1" applyFill="1" applyAlignment="1" applyProtection="1">
      <alignment horizontal="left" vertical="top" wrapText="1"/>
      <protection locked="0" hidden="1"/>
    </xf>
    <xf numFmtId="0" fontId="59" fillId="50" borderId="16" xfId="1371" applyFont="1" applyFill="1" applyBorder="1" applyAlignment="1" applyProtection="1">
      <alignment horizontal="left" vertical="top" wrapText="1"/>
      <protection locked="0" hidden="1"/>
    </xf>
    <xf numFmtId="0" fontId="59" fillId="50" borderId="17" xfId="1371" applyFont="1" applyFill="1" applyBorder="1" applyAlignment="1" applyProtection="1">
      <alignment horizontal="left" vertical="top" wrapText="1"/>
      <protection locked="0" hidden="1"/>
    </xf>
    <xf numFmtId="0" fontId="59" fillId="50" borderId="18" xfId="1371" applyFont="1" applyFill="1" applyBorder="1" applyAlignment="1" applyProtection="1">
      <alignment horizontal="left" vertical="top" wrapText="1"/>
      <protection locked="0" hidden="1"/>
    </xf>
    <xf numFmtId="0" fontId="59" fillId="50" borderId="19" xfId="1371" applyFont="1" applyFill="1" applyBorder="1" applyAlignment="1" applyProtection="1">
      <alignment horizontal="left" vertical="top"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59" fillId="50" borderId="155" xfId="1371" applyFont="1" applyFill="1" applyBorder="1" applyAlignment="1" applyProtection="1">
      <alignment horizontal="left" vertical="center" wrapText="1"/>
      <protection locked="0" hidden="1"/>
    </xf>
    <xf numFmtId="0" fontId="59" fillId="50" borderId="159" xfId="1371" applyFont="1" applyFill="1" applyBorder="1" applyAlignment="1" applyProtection="1">
      <alignment horizontal="left" vertical="center" wrapText="1"/>
      <protection locked="0" hidden="1"/>
    </xf>
    <xf numFmtId="0" fontId="59" fillId="50" borderId="160" xfId="1371" applyFont="1" applyFill="1" applyBorder="1" applyAlignment="1" applyProtection="1">
      <alignment horizontal="left" vertical="center" wrapText="1"/>
      <protection locked="0" hidden="1"/>
    </xf>
    <xf numFmtId="0" fontId="59" fillId="50" borderId="113" xfId="1371" applyFont="1" applyFill="1" applyBorder="1" applyAlignment="1" applyProtection="1">
      <alignment horizontal="left" vertical="center" wrapText="1"/>
      <protection locked="0" hidden="1"/>
    </xf>
    <xf numFmtId="0" fontId="59" fillId="50" borderId="0" xfId="1371" applyFont="1" applyFill="1" applyAlignment="1" applyProtection="1">
      <alignment horizontal="left" vertical="center" wrapText="1"/>
      <protection locked="0" hidden="1"/>
    </xf>
    <xf numFmtId="0" fontId="59" fillId="50" borderId="16" xfId="1371" applyFont="1" applyFill="1" applyBorder="1" applyAlignment="1" applyProtection="1">
      <alignment horizontal="left" vertical="center" wrapText="1"/>
      <protection locked="0" hidden="1"/>
    </xf>
    <xf numFmtId="0" fontId="59" fillId="50" borderId="17" xfId="1371" applyFont="1" applyFill="1" applyBorder="1" applyAlignment="1" applyProtection="1">
      <alignment horizontal="left" vertical="center" wrapText="1"/>
      <protection locked="0" hidden="1"/>
    </xf>
    <xf numFmtId="0" fontId="59" fillId="50" borderId="18" xfId="1371" applyFont="1" applyFill="1" applyBorder="1" applyAlignment="1" applyProtection="1">
      <alignment horizontal="left" vertical="center" wrapText="1"/>
      <protection locked="0" hidden="1"/>
    </xf>
    <xf numFmtId="0" fontId="59" fillId="50" borderId="19" xfId="1371" applyFont="1" applyFill="1" applyBorder="1" applyAlignment="1" applyProtection="1">
      <alignment horizontal="left" vertical="center" wrapText="1"/>
      <protection locked="0" hidden="1"/>
    </xf>
    <xf numFmtId="0" fontId="59" fillId="0" borderId="126" xfId="1371" applyFont="1" applyBorder="1" applyAlignment="1" applyProtection="1">
      <alignment horizontal="justify" vertical="center" wrapText="1"/>
      <protection locked="0" hidden="1"/>
    </xf>
    <xf numFmtId="0" fontId="59" fillId="0" borderId="127" xfId="1371" applyFont="1" applyBorder="1" applyAlignment="1" applyProtection="1">
      <alignment horizontal="justify" vertical="center" wrapText="1"/>
      <protection locked="0" hidden="1"/>
    </xf>
    <xf numFmtId="0" fontId="59" fillId="0" borderId="162" xfId="1371" applyFont="1" applyBorder="1" applyAlignment="1" applyProtection="1">
      <alignment horizontal="justify" vertical="center" wrapText="1"/>
      <protection locked="0" hidden="1"/>
    </xf>
    <xf numFmtId="0" fontId="70" fillId="50" borderId="152" xfId="1371" applyFont="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5" fillId="0" borderId="126" xfId="1371" applyFont="1" applyBorder="1" applyAlignment="1" applyProtection="1">
      <alignment horizontal="left" vertical="center" wrapText="1"/>
      <protection hidden="1"/>
    </xf>
    <xf numFmtId="0" fontId="5" fillId="0" borderId="127" xfId="1371" applyFont="1" applyBorder="1" applyAlignment="1" applyProtection="1">
      <alignment horizontal="left" vertical="center" wrapText="1"/>
      <protection hidden="1"/>
    </xf>
    <xf numFmtId="0" fontId="5" fillId="0" borderId="162" xfId="1371" applyFont="1" applyBorder="1" applyAlignment="1" applyProtection="1">
      <alignment horizontal="left" vertical="center" wrapText="1"/>
      <protection hidden="1"/>
    </xf>
    <xf numFmtId="0" fontId="70" fillId="0" borderId="152" xfId="1371" applyFont="1" applyBorder="1" applyAlignment="1" applyProtection="1">
      <alignment horizontal="left" vertical="center" wrapText="1"/>
      <protection hidden="1"/>
    </xf>
    <xf numFmtId="0" fontId="77" fillId="0" borderId="152" xfId="1371" applyFont="1" applyBorder="1" applyAlignment="1" applyProtection="1">
      <alignment horizontal="left" vertical="center" wrapText="1"/>
      <protection hidden="1"/>
    </xf>
    <xf numFmtId="0" fontId="77" fillId="0" borderId="153" xfId="1371" applyFont="1" applyBorder="1" applyAlignment="1" applyProtection="1">
      <alignment horizontal="left" vertical="center" wrapText="1"/>
      <protection hidden="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65" fontId="12" fillId="50" borderId="156" xfId="1250" applyFont="1" applyFill="1" applyBorder="1" applyAlignment="1" applyProtection="1">
      <alignment horizontal="center" vertical="center" wrapText="1"/>
      <protection locked="0" hidden="1"/>
    </xf>
    <xf numFmtId="165" fontId="12" fillId="50" borderId="23" xfId="1250" applyFont="1" applyFill="1" applyBorder="1" applyAlignment="1" applyProtection="1">
      <alignment horizontal="center" vertical="center" wrapText="1"/>
      <protection locked="0" hidden="1"/>
    </xf>
    <xf numFmtId="165" fontId="12" fillId="50" borderId="15" xfId="1250" applyFont="1" applyFill="1" applyBorder="1" applyAlignment="1" applyProtection="1">
      <alignment horizontal="center" vertical="center" wrapText="1"/>
      <protection locked="0" hidden="1"/>
    </xf>
    <xf numFmtId="165" fontId="12" fillId="50" borderId="154" xfId="1250" applyFont="1" applyFill="1" applyBorder="1" applyAlignment="1" applyProtection="1">
      <alignment horizontal="center" vertical="center" wrapText="1"/>
      <protection locked="0" hidden="1"/>
    </xf>
    <xf numFmtId="165" fontId="12" fillId="50" borderId="47" xfId="1250" applyFont="1" applyFill="1" applyBorder="1" applyAlignment="1" applyProtection="1">
      <alignment horizontal="center" vertical="center" wrapText="1"/>
      <protection locked="0" hidden="1"/>
    </xf>
    <xf numFmtId="165" fontId="12" fillId="50" borderId="48" xfId="1250" applyFont="1" applyFill="1" applyBorder="1" applyAlignment="1" applyProtection="1">
      <alignment horizontal="center" vertical="center" wrapText="1"/>
      <protection locked="0" hidden="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81" fillId="65" borderId="113" xfId="0" applyFont="1" applyFill="1" applyBorder="1" applyAlignment="1">
      <alignment horizontal="justify" vertical="center" wrapText="1"/>
    </xf>
    <xf numFmtId="0" fontId="81" fillId="65" borderId="0" xfId="0" applyFont="1" applyFill="1" applyAlignment="1">
      <alignment horizontal="justify" vertical="center" wrapText="1"/>
    </xf>
    <xf numFmtId="0" fontId="81" fillId="65" borderId="17" xfId="0" applyFont="1" applyFill="1" applyBorder="1" applyAlignment="1">
      <alignment horizontal="justify" vertical="center" wrapText="1"/>
    </xf>
    <xf numFmtId="0" fontId="81" fillId="65" borderId="18" xfId="0" applyFont="1" applyFill="1" applyBorder="1" applyAlignment="1">
      <alignment horizontal="justify" vertical="center" wrapText="1"/>
    </xf>
    <xf numFmtId="0" fontId="80" fillId="24" borderId="0" xfId="1371" applyFont="1" applyFill="1" applyAlignment="1" applyProtection="1">
      <alignment horizontal="center" vertical="center"/>
      <protection hidden="1"/>
    </xf>
    <xf numFmtId="0" fontId="81" fillId="65" borderId="155" xfId="0" applyFont="1" applyFill="1" applyBorder="1" applyAlignment="1">
      <alignment horizontal="justify" vertical="center" wrapText="1"/>
    </xf>
    <xf numFmtId="0" fontId="81" fillId="65" borderId="159" xfId="0" applyFont="1" applyFill="1" applyBorder="1" applyAlignment="1">
      <alignment horizontal="justify" vertical="center" wrapText="1"/>
    </xf>
    <xf numFmtId="0" fontId="9" fillId="0" borderId="78" xfId="1371" applyFont="1" applyBorder="1" applyAlignment="1" applyProtection="1">
      <alignment horizontal="center" vertical="center" wrapText="1"/>
      <protection locked="0" hidden="1"/>
    </xf>
    <xf numFmtId="0" fontId="9" fillId="0" borderId="79" xfId="1371" applyFont="1" applyBorder="1" applyAlignment="1" applyProtection="1">
      <alignment horizontal="center" vertical="center" wrapText="1"/>
      <protection locked="0" hidden="1"/>
    </xf>
    <xf numFmtId="0" fontId="9" fillId="0" borderId="80" xfId="1371" applyFont="1" applyBorder="1" applyAlignment="1" applyProtection="1">
      <alignment horizontal="center" vertical="center" wrapText="1"/>
      <protection locked="0" hidden="1"/>
    </xf>
    <xf numFmtId="0" fontId="9" fillId="0" borderId="152" xfId="1371" applyFont="1" applyBorder="1" applyAlignment="1" applyProtection="1">
      <alignment horizontal="center" vertical="center" wrapText="1"/>
      <protection locked="0"/>
    </xf>
    <xf numFmtId="0" fontId="9" fillId="0" borderId="153" xfId="1371" applyFont="1" applyBorder="1" applyAlignment="1" applyProtection="1">
      <alignment horizontal="center" vertical="center" wrapText="1"/>
      <protection locked="0"/>
    </xf>
    <xf numFmtId="0" fontId="54" fillId="0" borderId="155" xfId="1371" applyFont="1" applyBorder="1" applyAlignment="1" applyProtection="1">
      <alignment horizontal="left" vertical="center" wrapText="1"/>
      <protection locked="0" hidden="1"/>
    </xf>
    <xf numFmtId="0" fontId="54" fillId="0" borderId="159" xfId="1371" applyFont="1" applyBorder="1" applyAlignment="1" applyProtection="1">
      <alignment horizontal="left" vertical="center" wrapText="1"/>
      <protection locked="0" hidden="1"/>
    </xf>
    <xf numFmtId="0" fontId="54" fillId="0" borderId="160" xfId="1371" applyFont="1" applyBorder="1" applyAlignment="1" applyProtection="1">
      <alignment horizontal="left" vertical="center" wrapText="1"/>
      <protection locked="0" hidden="1"/>
    </xf>
    <xf numFmtId="0" fontId="54" fillId="0" borderId="113" xfId="1371" applyFont="1" applyBorder="1" applyAlignment="1" applyProtection="1">
      <alignment horizontal="left" vertical="center" wrapText="1"/>
      <protection locked="0" hidden="1"/>
    </xf>
    <xf numFmtId="0" fontId="54" fillId="0" borderId="0" xfId="1371" applyFont="1" applyAlignment="1" applyProtection="1">
      <alignment horizontal="left" vertical="center" wrapText="1"/>
      <protection locked="0" hidden="1"/>
    </xf>
    <xf numFmtId="0" fontId="54" fillId="0" borderId="16" xfId="1371" applyFont="1" applyBorder="1" applyAlignment="1" applyProtection="1">
      <alignment horizontal="left" vertical="center" wrapText="1"/>
      <protection locked="0" hidden="1"/>
    </xf>
    <xf numFmtId="0" fontId="54" fillId="0" borderId="17" xfId="1371" applyFont="1" applyBorder="1" applyAlignment="1" applyProtection="1">
      <alignment horizontal="left" vertical="center" wrapText="1"/>
      <protection locked="0" hidden="1"/>
    </xf>
    <xf numFmtId="0" fontId="54" fillId="0" borderId="18" xfId="1371" applyFont="1" applyBorder="1" applyAlignment="1" applyProtection="1">
      <alignment horizontal="left" vertical="center" wrapText="1"/>
      <protection locked="0" hidden="1"/>
    </xf>
    <xf numFmtId="0" fontId="54" fillId="0" borderId="19" xfId="1371" applyFont="1" applyBorder="1" applyAlignment="1" applyProtection="1">
      <alignment horizontal="left" vertical="center" wrapText="1"/>
      <protection locked="0" hidden="1"/>
    </xf>
    <xf numFmtId="0" fontId="3" fillId="0" borderId="155" xfId="0" applyFont="1" applyBorder="1" applyAlignment="1">
      <alignment horizontal="left" vertical="center" wrapText="1"/>
    </xf>
    <xf numFmtId="0" fontId="3" fillId="0" borderId="159" xfId="0" applyFont="1" applyBorder="1" applyAlignment="1">
      <alignment horizontal="left" vertical="center" wrapText="1"/>
    </xf>
    <xf numFmtId="0" fontId="3" fillId="0" borderId="160" xfId="0" applyFont="1" applyBorder="1" applyAlignment="1">
      <alignment horizontal="left" vertical="center" wrapText="1"/>
    </xf>
    <xf numFmtId="0" fontId="3" fillId="0" borderId="113" xfId="0" applyFont="1" applyBorder="1" applyAlignment="1">
      <alignment horizontal="left" vertical="center" wrapText="1"/>
    </xf>
    <xf numFmtId="0" fontId="3" fillId="0" borderId="0" xfId="0" applyFont="1" applyAlignment="1">
      <alignment horizontal="lef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0" fontId="54" fillId="0" borderId="126" xfId="1371" applyFont="1" applyBorder="1" applyAlignment="1" applyProtection="1">
      <alignment horizontal="left" vertical="center" wrapText="1"/>
      <protection locked="0" hidden="1"/>
    </xf>
    <xf numFmtId="0" fontId="54" fillId="0" borderId="127" xfId="1371" applyFont="1" applyBorder="1" applyAlignment="1" applyProtection="1">
      <alignment horizontal="left" vertical="center" wrapText="1"/>
      <protection locked="0" hidden="1"/>
    </xf>
    <xf numFmtId="0" fontId="54" fillId="0" borderId="162" xfId="1371" applyFont="1" applyBorder="1" applyAlignment="1" applyProtection="1">
      <alignment horizontal="left" vertical="center" wrapText="1"/>
      <protection locked="0" hidden="1"/>
    </xf>
    <xf numFmtId="0" fontId="55" fillId="0" borderId="155" xfId="1371" applyFont="1" applyBorder="1" applyAlignment="1" applyProtection="1">
      <alignment horizontal="left" vertical="top" wrapText="1"/>
      <protection locked="0" hidden="1"/>
    </xf>
    <xf numFmtId="0" fontId="55" fillId="0" borderId="159" xfId="1371" applyFont="1" applyBorder="1" applyAlignment="1" applyProtection="1">
      <alignment horizontal="left" vertical="top" wrapText="1"/>
      <protection locked="0" hidden="1"/>
    </xf>
    <xf numFmtId="0" fontId="55" fillId="0" borderId="113" xfId="1371" applyFont="1" applyBorder="1" applyAlignment="1" applyProtection="1">
      <alignment horizontal="left" vertical="top" wrapText="1"/>
      <protection locked="0" hidden="1"/>
    </xf>
    <xf numFmtId="0" fontId="55" fillId="0" borderId="0" xfId="1371" applyFont="1" applyAlignment="1" applyProtection="1">
      <alignment horizontal="left" vertical="top" wrapText="1"/>
      <protection locked="0" hidden="1"/>
    </xf>
    <xf numFmtId="0" fontId="54" fillId="0" borderId="155" xfId="1371" applyFont="1" applyBorder="1" applyAlignment="1" applyProtection="1">
      <alignment horizontal="left" vertical="top" wrapText="1"/>
      <protection locked="0" hidden="1"/>
    </xf>
    <xf numFmtId="0" fontId="54" fillId="0" borderId="159" xfId="1371" applyFont="1" applyBorder="1" applyAlignment="1" applyProtection="1">
      <alignment horizontal="left" vertical="top" wrapText="1"/>
      <protection locked="0" hidden="1"/>
    </xf>
    <xf numFmtId="0" fontId="54" fillId="0" borderId="160" xfId="1371" applyFont="1" applyBorder="1" applyAlignment="1" applyProtection="1">
      <alignment horizontal="left" vertical="top" wrapText="1"/>
      <protection locked="0" hidden="1"/>
    </xf>
    <xf numFmtId="0" fontId="54" fillId="0" borderId="113" xfId="1371" applyFont="1" applyBorder="1" applyAlignment="1" applyProtection="1">
      <alignment horizontal="left" vertical="top" wrapText="1"/>
      <protection locked="0" hidden="1"/>
    </xf>
    <xf numFmtId="0" fontId="54" fillId="0" borderId="0" xfId="1371" applyFont="1" applyAlignment="1" applyProtection="1">
      <alignment horizontal="left" vertical="top" wrapText="1"/>
      <protection locked="0" hidden="1"/>
    </xf>
    <xf numFmtId="0" fontId="54" fillId="0" borderId="16" xfId="1371" applyFont="1" applyBorder="1" applyAlignment="1" applyProtection="1">
      <alignment horizontal="left" vertical="top" wrapText="1"/>
      <protection locked="0" hidden="1"/>
    </xf>
    <xf numFmtId="0" fontId="54" fillId="0" borderId="17" xfId="1371" applyFont="1" applyBorder="1" applyAlignment="1" applyProtection="1">
      <alignment horizontal="left" vertical="top" wrapText="1"/>
      <protection locked="0" hidden="1"/>
    </xf>
    <xf numFmtId="0" fontId="54" fillId="0" borderId="18" xfId="1371" applyFont="1" applyBorder="1" applyAlignment="1" applyProtection="1">
      <alignment horizontal="left" vertical="top" wrapText="1"/>
      <protection locked="0" hidden="1"/>
    </xf>
    <xf numFmtId="0" fontId="54" fillId="0" borderId="19" xfId="1371" applyFont="1" applyBorder="1" applyAlignment="1" applyProtection="1">
      <alignment horizontal="left" vertical="top" wrapText="1"/>
      <protection locked="0" hidden="1"/>
    </xf>
    <xf numFmtId="0" fontId="3" fillId="0" borderId="155" xfId="0" applyFont="1" applyBorder="1" applyAlignment="1">
      <alignment horizontal="left" vertical="top" wrapText="1"/>
    </xf>
    <xf numFmtId="0" fontId="3" fillId="0" borderId="159" xfId="0" applyFont="1" applyBorder="1" applyAlignment="1">
      <alignment horizontal="left" vertical="top" wrapText="1"/>
    </xf>
    <xf numFmtId="0" fontId="3" fillId="0" borderId="160"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4" fillId="0" borderId="113" xfId="0" applyFont="1" applyBorder="1" applyAlignment="1">
      <alignment horizontal="left" vertical="center" wrapText="1"/>
    </xf>
    <xf numFmtId="0" fontId="4" fillId="0" borderId="0" xfId="0" applyFont="1" applyAlignment="1">
      <alignment horizontal="left" vertical="center" wrapText="1"/>
    </xf>
    <xf numFmtId="0" fontId="87" fillId="0" borderId="113" xfId="0" applyFont="1" applyBorder="1" applyAlignment="1">
      <alignment horizontal="left" vertical="center" wrapText="1"/>
    </xf>
    <xf numFmtId="0" fontId="87" fillId="0" borderId="0" xfId="0" applyFont="1" applyAlignment="1">
      <alignment horizontal="left" vertical="center" wrapText="1"/>
    </xf>
    <xf numFmtId="0" fontId="87" fillId="0" borderId="16" xfId="0" applyFont="1" applyBorder="1" applyAlignment="1">
      <alignment horizontal="left" vertical="center" wrapText="1"/>
    </xf>
    <xf numFmtId="0" fontId="87" fillId="0" borderId="159" xfId="0" applyFont="1" applyBorder="1" applyAlignment="1">
      <alignment horizontal="left" vertical="center" wrapText="1"/>
    </xf>
    <xf numFmtId="0" fontId="87" fillId="0" borderId="160" xfId="0" applyFont="1" applyBorder="1" applyAlignment="1">
      <alignment horizontal="left" vertical="center" wrapText="1"/>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2"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165" fontId="9" fillId="50" borderId="154" xfId="1250" applyFont="1" applyFill="1" applyBorder="1" applyAlignment="1" applyProtection="1">
      <alignment horizontal="center" vertical="center" wrapText="1"/>
      <protection locked="0" hidden="1"/>
    </xf>
    <xf numFmtId="165" fontId="9" fillId="50" borderId="47" xfId="1250" applyFont="1" applyFill="1" applyBorder="1" applyAlignment="1" applyProtection="1">
      <alignment horizontal="center" vertical="center" wrapText="1"/>
      <protection locked="0" hidden="1"/>
    </xf>
    <xf numFmtId="165" fontId="9" fillId="50" borderId="48" xfId="1250"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59" fillId="50" borderId="126" xfId="1371" applyFont="1" applyFill="1" applyBorder="1" applyAlignment="1" applyProtection="1">
      <alignment horizontal="left" vertical="center" wrapText="1"/>
      <protection locked="0"/>
    </xf>
    <xf numFmtId="0" fontId="59" fillId="50" borderId="127" xfId="1371" applyFont="1" applyFill="1" applyBorder="1" applyAlignment="1" applyProtection="1">
      <alignment horizontal="left" vertical="center" wrapText="1"/>
      <protection locked="0"/>
    </xf>
    <xf numFmtId="0" fontId="59" fillId="50" borderId="162" xfId="1371" applyFont="1" applyFill="1" applyBorder="1" applyAlignment="1" applyProtection="1">
      <alignment horizontal="left" vertical="center" wrapText="1"/>
      <protection locked="0"/>
    </xf>
    <xf numFmtId="0" fontId="59" fillId="50" borderId="155" xfId="1371" applyFont="1" applyFill="1" applyBorder="1" applyAlignment="1" applyProtection="1">
      <alignment horizontal="left" vertical="center" wrapText="1"/>
      <protection locked="0"/>
    </xf>
    <xf numFmtId="0" fontId="59" fillId="50" borderId="159" xfId="1371" applyFont="1" applyFill="1" applyBorder="1" applyAlignment="1" applyProtection="1">
      <alignment horizontal="left" vertical="center" wrapText="1"/>
      <protection locked="0"/>
    </xf>
    <xf numFmtId="0" fontId="59" fillId="50" borderId="160" xfId="1371" applyFont="1" applyFill="1" applyBorder="1" applyAlignment="1" applyProtection="1">
      <alignment horizontal="left" vertical="center" wrapText="1"/>
      <protection locked="0"/>
    </xf>
    <xf numFmtId="0" fontId="59" fillId="50" borderId="113" xfId="1371" applyFont="1" applyFill="1" applyBorder="1" applyAlignment="1" applyProtection="1">
      <alignment horizontal="left" vertical="center" wrapText="1"/>
      <protection locked="0"/>
    </xf>
    <xf numFmtId="0" fontId="59" fillId="50" borderId="0" xfId="1371" applyFont="1" applyFill="1" applyAlignment="1" applyProtection="1">
      <alignment horizontal="left" vertical="center" wrapText="1"/>
      <protection locked="0"/>
    </xf>
    <xf numFmtId="0" fontId="59" fillId="50" borderId="16" xfId="1371" applyFont="1" applyFill="1" applyBorder="1" applyAlignment="1" applyProtection="1">
      <alignment horizontal="left" vertical="center" wrapText="1"/>
      <protection locked="0"/>
    </xf>
    <xf numFmtId="0" fontId="59" fillId="50" borderId="17" xfId="1371" applyFont="1" applyFill="1" applyBorder="1" applyAlignment="1" applyProtection="1">
      <alignment horizontal="left" vertical="center" wrapText="1"/>
      <protection locked="0"/>
    </xf>
    <xf numFmtId="0" fontId="59" fillId="50" borderId="18" xfId="1371" applyFont="1" applyFill="1" applyBorder="1" applyAlignment="1" applyProtection="1">
      <alignment horizontal="left" vertical="center" wrapText="1"/>
      <protection locked="0"/>
    </xf>
    <xf numFmtId="0" fontId="59" fillId="50" borderId="19" xfId="1371" applyFont="1" applyFill="1" applyBorder="1" applyAlignment="1" applyProtection="1">
      <alignment horizontal="left" vertical="center" wrapText="1"/>
      <protection locked="0"/>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9" fillId="50" borderId="161" xfId="1371" applyFont="1" applyFill="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xf numFmtId="0" fontId="83" fillId="0" borderId="152" xfId="0" applyFont="1" applyFill="1" applyBorder="1" applyAlignment="1">
      <alignment horizontal="center" vertical="center" wrapText="1"/>
    </xf>
  </cellXfs>
  <cellStyles count="32118">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2.5679999999999998E-2</c:v>
                </c:pt>
                <c:pt idx="3">
                  <c:v>2.5679999999999998E-2</c:v>
                </c:pt>
                <c:pt idx="4">
                  <c:v>9.6160000000000009E-2</c:v>
                </c:pt>
                <c:pt idx="5">
                  <c:v>8.5760000000000003E-2</c:v>
                </c:pt>
                <c:pt idx="6">
                  <c:v>1.9760000000000003E-2</c:v>
                </c:pt>
                <c:pt idx="7">
                  <c:v>1.9760000000000003E-2</c:v>
                </c:pt>
                <c:pt idx="8">
                  <c:v>1.9760000000000003E-2</c:v>
                </c:pt>
                <c:pt idx="9">
                  <c:v>1.9760000000000003E-2</c:v>
                </c:pt>
                <c:pt idx="10">
                  <c:v>1.9760000000000003E-2</c:v>
                </c:pt>
                <c:pt idx="11">
                  <c:v>6.7920000000000008E-2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0</c:v>
                </c:pt>
                <c:pt idx="1">
                  <c:v>0</c:v>
                </c:pt>
                <c:pt idx="2">
                  <c:v>2.5679999999999998E-2</c:v>
                </c:pt>
                <c:pt idx="3">
                  <c:v>2.5679999999999998E-2</c:v>
                </c:pt>
                <c:pt idx="4">
                  <c:v>9.6160000000000009E-2</c:v>
                </c:pt>
                <c:pt idx="5">
                  <c:v>0</c:v>
                </c:pt>
                <c:pt idx="6">
                  <c:v>0</c:v>
                </c:pt>
                <c:pt idx="7">
                  <c:v>0</c:v>
                </c:pt>
                <c:pt idx="8">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6.4199999999999993E-2</c:v>
                </c:pt>
                <c:pt idx="3">
                  <c:v>0.12839999999999999</c:v>
                </c:pt>
                <c:pt idx="4">
                  <c:v>0.36880000000000002</c:v>
                </c:pt>
                <c:pt idx="5">
                  <c:v>0.36880000000000002</c:v>
                </c:pt>
                <c:pt idx="6">
                  <c:v>0.36880000000000002</c:v>
                </c:pt>
                <c:pt idx="7">
                  <c:v>0.36880000000000002</c:v>
                </c:pt>
                <c:pt idx="8">
                  <c:v>0.36880000000000002</c:v>
                </c:pt>
                <c:pt idx="9">
                  <c:v>0</c:v>
                </c:pt>
                <c:pt idx="10">
                  <c:v>0</c:v>
                </c:pt>
                <c:pt idx="11">
                  <c:v>0</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0.66639999999999999</c:v>
                </c:pt>
                <c:pt idx="8">
                  <c:v>0.74970000000000003</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1.9199999999999998E-2</c:v>
                </c:pt>
                <c:pt idx="2">
                  <c:v>1.6980000000000002E-2</c:v>
                </c:pt>
                <c:pt idx="3">
                  <c:v>3.1829999999999997E-2</c:v>
                </c:pt>
                <c:pt idx="4">
                  <c:v>1.6980000000000002E-2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pt idx="1">
                  <c:v>1.9199999999999998E-2</c:v>
                </c:pt>
                <c:pt idx="2">
                  <c:v>1.6980000000000002E-2</c:v>
                </c:pt>
                <c:pt idx="3">
                  <c:v>3.1829999999999997E-2</c:v>
                </c:pt>
                <c:pt idx="4">
                  <c:v>1.6980000000000002E-2</c:v>
                </c:pt>
                <c:pt idx="5">
                  <c:v>0.02</c:v>
                </c:pt>
                <c:pt idx="6">
                  <c:v>0.03</c:v>
                </c:pt>
                <c:pt idx="7">
                  <c:v>2.6279999999999998E-2</c:v>
                </c:pt>
                <c:pt idx="8">
                  <c:v>2.2079999999999999E-2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9.01E-2</c:v>
                </c:pt>
                <c:pt idx="1">
                  <c:v>0.15410000000000001</c:v>
                </c:pt>
                <c:pt idx="2">
                  <c:v>0.21070000000000003</c:v>
                </c:pt>
                <c:pt idx="3">
                  <c:v>0.31680000000000003</c:v>
                </c:pt>
                <c:pt idx="4">
                  <c:v>0.37340000000000007</c:v>
                </c:pt>
                <c:pt idx="5">
                  <c:v>0.44006666666666672</c:v>
                </c:pt>
                <c:pt idx="6">
                  <c:v>0.54006666666666669</c:v>
                </c:pt>
                <c:pt idx="7">
                  <c:v>0.62766666666666671</c:v>
                </c:pt>
                <c:pt idx="8">
                  <c:v>0.7012666666666667</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0.01</c:v>
                </c:pt>
                <c:pt idx="2">
                  <c:v>0.01</c:v>
                </c:pt>
                <c:pt idx="3">
                  <c:v>0.01</c:v>
                </c:pt>
                <c:pt idx="4">
                  <c:v>0.06</c:v>
                </c:pt>
                <c:pt idx="5">
                  <c:v>1.43E-2</c:v>
                </c:pt>
                <c:pt idx="6">
                  <c:v>1.43E-2</c:v>
                </c:pt>
                <c:pt idx="7">
                  <c:v>1.4279999999999998E-2</c:v>
                </c:pt>
                <c:pt idx="8">
                  <c:v>3.4290000000000001E-2</c:v>
                </c:pt>
                <c:pt idx="9">
                  <c:v>1.4279999999999998E-2</c:v>
                </c:pt>
                <c:pt idx="10">
                  <c:v>1.4279999999999998E-2</c:v>
                </c:pt>
                <c:pt idx="11">
                  <c:v>1.4279999999999998E-2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pt idx="1">
                  <c:v>0.01</c:v>
                </c:pt>
                <c:pt idx="2">
                  <c:v>0.01</c:v>
                </c:pt>
                <c:pt idx="3">
                  <c:v>0.01</c:v>
                </c:pt>
                <c:pt idx="4">
                  <c:v>0.06</c:v>
                </c:pt>
                <c:pt idx="5">
                  <c:v>1.43E-2</c:v>
                </c:pt>
                <c:pt idx="6">
                  <c:v>1.43E-2</c:v>
                </c:pt>
                <c:pt idx="7">
                  <c:v>1.4279999999999998E-2</c:v>
                </c:pt>
                <c:pt idx="8">
                  <c:v>3.4299999999999997E-2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0.3</c:v>
                </c:pt>
                <c:pt idx="1">
                  <c:v>0.33333333333333331</c:v>
                </c:pt>
                <c:pt idx="2">
                  <c:v>0.36666666666666664</c:v>
                </c:pt>
                <c:pt idx="3">
                  <c:v>0.39999999999999997</c:v>
                </c:pt>
                <c:pt idx="4">
                  <c:v>0.6</c:v>
                </c:pt>
                <c:pt idx="5">
                  <c:v>0.64766666666666661</c:v>
                </c:pt>
                <c:pt idx="6">
                  <c:v>0.69533333333333325</c:v>
                </c:pt>
                <c:pt idx="7">
                  <c:v>0.74293333333333322</c:v>
                </c:pt>
                <c:pt idx="8">
                  <c:v>0.85726666666666651</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0.66639999999999999</c:v>
                </c:pt>
                <c:pt idx="8">
                  <c:v>0.74970000000000003</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0.27300000000000002</c:v>
                </c:pt>
                <c:pt idx="1">
                  <c:v>0.252</c:v>
                </c:pt>
                <c:pt idx="2">
                  <c:v>0.2631</c:v>
                </c:pt>
                <c:pt idx="3">
                  <c:v>0.23099999999999998</c:v>
                </c:pt>
                <c:pt idx="4">
                  <c:v>0.23039999999999999</c:v>
                </c:pt>
                <c:pt idx="5">
                  <c:v>0.28439999999999999</c:v>
                </c:pt>
                <c:pt idx="6">
                  <c:v>0.23099999999999998</c:v>
                </c:pt>
                <c:pt idx="7">
                  <c:v>0.2361</c:v>
                </c:pt>
                <c:pt idx="8">
                  <c:v>0.2412</c:v>
                </c:pt>
                <c:pt idx="9">
                  <c:v>0.23099999999999998</c:v>
                </c:pt>
                <c:pt idx="10">
                  <c:v>0.27360000000000001</c:v>
                </c:pt>
                <c:pt idx="11">
                  <c:v>0.2571</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0.21959999999999999</c:v>
                </c:pt>
                <c:pt idx="1">
                  <c:v>0.2379</c:v>
                </c:pt>
                <c:pt idx="2">
                  <c:v>0.22619999999999998</c:v>
                </c:pt>
                <c:pt idx="3">
                  <c:v>0.21359999999999998</c:v>
                </c:pt>
                <c:pt idx="4">
                  <c:v>0.23039999999999999</c:v>
                </c:pt>
                <c:pt idx="5">
                  <c:v>0.27643679999999998</c:v>
                </c:pt>
                <c:pt idx="6">
                  <c:v>0.23099999999999998</c:v>
                </c:pt>
                <c:pt idx="7">
                  <c:v>0.2361</c:v>
                </c:pt>
                <c:pt idx="8">
                  <c:v>0.24276175549537768</c:v>
                </c:pt>
                <c:pt idx="9">
                  <c:v>0.23099999999999998</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0.73199999999999998</c:v>
                </c:pt>
                <c:pt idx="1">
                  <c:v>1.5249999999999999</c:v>
                </c:pt>
                <c:pt idx="2">
                  <c:v>2.2789999999999999</c:v>
                </c:pt>
                <c:pt idx="3">
                  <c:v>2.9909999999999997</c:v>
                </c:pt>
                <c:pt idx="4">
                  <c:v>3.7589999999999995</c:v>
                </c:pt>
                <c:pt idx="5">
                  <c:v>4.6804559999999995</c:v>
                </c:pt>
                <c:pt idx="6">
                  <c:v>5.4504559999999991</c:v>
                </c:pt>
                <c:pt idx="7">
                  <c:v>6.237455999999999</c:v>
                </c:pt>
                <c:pt idx="8">
                  <c:v>7.0466618516512582</c:v>
                </c:pt>
                <c:pt idx="9">
                  <c:v>7.8166618516512578</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1.4070000000000001E-2</c:v>
                </c:pt>
                <c:pt idx="1">
                  <c:v>1.746E-2</c:v>
                </c:pt>
                <c:pt idx="2">
                  <c:v>3.5459999999999998E-2</c:v>
                </c:pt>
                <c:pt idx="3">
                  <c:v>2.4299999999999999E-2</c:v>
                </c:pt>
                <c:pt idx="4">
                  <c:v>2.019E-2</c:v>
                </c:pt>
                <c:pt idx="5">
                  <c:v>3.0299999999999997E-2</c:v>
                </c:pt>
                <c:pt idx="6">
                  <c:v>2.1239999999999998E-2</c:v>
                </c:pt>
                <c:pt idx="7">
                  <c:v>2.1239999999999998E-2</c:v>
                </c:pt>
                <c:pt idx="8">
                  <c:v>3.5490000000000001E-2</c:v>
                </c:pt>
                <c:pt idx="9">
                  <c:v>2.4989999999999998E-2</c:v>
                </c:pt>
                <c:pt idx="10">
                  <c:v>2.1090000000000001E-2</c:v>
                </c:pt>
                <c:pt idx="11">
                  <c:v>3.4109999999999994E-2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1.4070000000000001E-2</c:v>
                </c:pt>
                <c:pt idx="1">
                  <c:v>0.03</c:v>
                </c:pt>
                <c:pt idx="2">
                  <c:v>2.5920000000000002E-2</c:v>
                </c:pt>
                <c:pt idx="3">
                  <c:v>1.5779999999999999E-2</c:v>
                </c:pt>
                <c:pt idx="4">
                  <c:v>2.019E-2</c:v>
                </c:pt>
                <c:pt idx="5">
                  <c:v>3.0299999999999997E-2</c:v>
                </c:pt>
                <c:pt idx="6">
                  <c:v>2.1239999999999998E-2</c:v>
                </c:pt>
                <c:pt idx="7">
                  <c:v>1.9178378715629031E-2</c:v>
                </c:pt>
                <c:pt idx="8">
                  <c:v>1.6677648E-2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4.6900000000000004E-2</c:v>
                </c:pt>
                <c:pt idx="1">
                  <c:v>0.1469</c:v>
                </c:pt>
                <c:pt idx="2">
                  <c:v>0.23330000000000001</c:v>
                </c:pt>
                <c:pt idx="3">
                  <c:v>0.28589999999999999</c:v>
                </c:pt>
                <c:pt idx="4">
                  <c:v>0.35319999999999996</c:v>
                </c:pt>
                <c:pt idx="5">
                  <c:v>0.45419999999999994</c:v>
                </c:pt>
                <c:pt idx="6">
                  <c:v>0.52499999999999991</c:v>
                </c:pt>
                <c:pt idx="7">
                  <c:v>0.58892792905209668</c:v>
                </c:pt>
                <c:pt idx="8">
                  <c:v>0.64452008905209668</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22411</xdr:colOff>
      <xdr:row>39</xdr:row>
      <xdr:rowOff>6722</xdr:rowOff>
    </xdr:from>
    <xdr:to>
      <xdr:col>8</xdr:col>
      <xdr:colOff>1075764</xdr:colOff>
      <xdr:row>44</xdr:row>
      <xdr:rowOff>4483</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22860</xdr:colOff>
          <xdr:row>1</xdr:row>
          <xdr:rowOff>22860</xdr:rowOff>
        </xdr:from>
        <xdr:to>
          <xdr:col>8</xdr:col>
          <xdr:colOff>1714500</xdr:colOff>
          <xdr:row>2</xdr:row>
          <xdr:rowOff>60960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xdr:colOff>
      <xdr:row>39</xdr:row>
      <xdr:rowOff>59531</xdr:rowOff>
    </xdr:from>
    <xdr:to>
      <xdr:col>8</xdr:col>
      <xdr:colOff>1654969</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640625" defaultRowHeight="14.4" x14ac:dyDescent="0.3"/>
  <cols>
    <col min="1" max="1" width="15.6640625" style="52" customWidth="1"/>
    <col min="2" max="2" width="23.109375" style="52" customWidth="1"/>
    <col min="3" max="3" width="16.109375" style="52" customWidth="1"/>
    <col min="4" max="4" width="16.44140625" style="53" customWidth="1"/>
    <col min="5" max="5" width="17.44140625" style="52" customWidth="1"/>
    <col min="6" max="6" width="23.44140625" style="52" customWidth="1"/>
    <col min="7" max="7" width="17.109375" style="52" customWidth="1"/>
    <col min="8" max="8" width="16.44140625" style="52" customWidth="1"/>
    <col min="9" max="9" width="18.109375" style="52" customWidth="1"/>
    <col min="10" max="10" width="13.6640625" style="52" customWidth="1"/>
    <col min="11" max="11" width="13.6640625" style="60" customWidth="1"/>
    <col min="12" max="17" width="13.6640625" style="52" customWidth="1"/>
    <col min="18" max="18" width="11.6640625" style="52" customWidth="1"/>
    <col min="19" max="19" width="9.6640625" style="52" customWidth="1"/>
    <col min="20" max="20" width="10.33203125" style="52" customWidth="1"/>
    <col min="21" max="21" width="14.109375" style="52" customWidth="1"/>
    <col min="22" max="22" width="11.6640625" style="52" customWidth="1"/>
    <col min="23" max="23" width="12.44140625" style="52" customWidth="1"/>
    <col min="24" max="26" width="14.6640625" style="52" customWidth="1"/>
    <col min="27" max="27" width="16.44140625" style="67" customWidth="1"/>
    <col min="28" max="28" width="14.6640625" style="52" customWidth="1"/>
    <col min="29" max="29" width="14.44140625" style="52" customWidth="1"/>
    <col min="30" max="30" width="89.6640625" style="52" customWidth="1"/>
    <col min="31" max="31" width="79.44140625" style="52" customWidth="1"/>
    <col min="32" max="32" width="87.44140625" style="52" customWidth="1"/>
    <col min="33" max="16384" width="10.6640625" style="52"/>
  </cols>
  <sheetData>
    <row r="2" spans="1:67" s="69" customFormat="1" ht="45.75" customHeight="1" x14ac:dyDescent="0.3">
      <c r="A2" s="363"/>
      <c r="B2" s="363"/>
      <c r="C2" s="348" t="s">
        <v>0</v>
      </c>
      <c r="D2" s="348"/>
      <c r="E2" s="348"/>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55"/>
    </row>
    <row r="3" spans="1:67" s="69" customFormat="1" ht="45.75" customHeight="1" x14ac:dyDescent="0.3">
      <c r="A3" s="363"/>
      <c r="B3" s="363"/>
      <c r="C3" s="348" t="s">
        <v>1</v>
      </c>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56"/>
    </row>
    <row r="4" spans="1:67" s="69" customFormat="1" ht="45.75" customHeight="1" x14ac:dyDescent="0.3">
      <c r="A4" s="363"/>
      <c r="B4" s="363"/>
      <c r="C4" s="348" t="s">
        <v>2</v>
      </c>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56"/>
    </row>
    <row r="5" spans="1:67" s="69" customFormat="1" ht="45.75" customHeight="1" x14ac:dyDescent="0.3">
      <c r="A5" s="363"/>
      <c r="B5" s="363"/>
      <c r="C5" s="366" t="s">
        <v>3</v>
      </c>
      <c r="D5" s="366"/>
      <c r="E5" s="366"/>
      <c r="F5" s="366"/>
      <c r="G5" s="366"/>
      <c r="H5" s="366"/>
      <c r="I5" s="366"/>
      <c r="J5" s="366"/>
      <c r="K5" s="366"/>
      <c r="L5" s="366"/>
      <c r="M5" s="366"/>
      <c r="N5" s="366"/>
      <c r="O5" s="366"/>
      <c r="P5" s="366"/>
      <c r="Q5" s="366"/>
      <c r="R5" s="353" t="s">
        <v>4</v>
      </c>
      <c r="S5" s="353"/>
      <c r="T5" s="353"/>
      <c r="U5" s="353"/>
      <c r="V5" s="353"/>
      <c r="W5" s="353"/>
      <c r="X5" s="353"/>
      <c r="Y5" s="353"/>
      <c r="Z5" s="353"/>
      <c r="AA5" s="353"/>
      <c r="AB5" s="353"/>
      <c r="AC5" s="353"/>
      <c r="AD5" s="353"/>
      <c r="AE5" s="353"/>
      <c r="AF5" s="357"/>
    </row>
    <row r="6" spans="1:67" s="70" customFormat="1" ht="30.75" customHeight="1" x14ac:dyDescent="0.3">
      <c r="D6" s="71"/>
      <c r="K6" s="69"/>
      <c r="AA6" s="72"/>
    </row>
    <row r="7" spans="1:67" s="70" customFormat="1" ht="42" customHeight="1" x14ac:dyDescent="0.3">
      <c r="B7" s="176" t="s">
        <v>5</v>
      </c>
      <c r="C7" s="362" t="e">
        <f>+#REF!</f>
        <v>#REF!</v>
      </c>
      <c r="D7" s="362"/>
      <c r="E7" s="362"/>
      <c r="F7" s="362"/>
      <c r="G7" s="362"/>
      <c r="K7" s="69"/>
      <c r="AA7" s="72"/>
    </row>
    <row r="8" spans="1:67" s="70" customFormat="1" ht="42" customHeight="1" x14ac:dyDescent="0.3">
      <c r="B8" s="176" t="s">
        <v>6</v>
      </c>
      <c r="C8" s="362" t="e">
        <f>+#REF!</f>
        <v>#REF!</v>
      </c>
      <c r="D8" s="362"/>
      <c r="E8" s="362"/>
      <c r="F8" s="362"/>
      <c r="G8" s="362"/>
      <c r="K8" s="69"/>
      <c r="AA8" s="72"/>
    </row>
    <row r="9" spans="1:67" s="70" customFormat="1" ht="42" customHeight="1" x14ac:dyDescent="0.3">
      <c r="B9" s="177" t="s">
        <v>7</v>
      </c>
      <c r="C9" s="362" t="e">
        <f>+#REF!</f>
        <v>#REF!</v>
      </c>
      <c r="D9" s="362"/>
      <c r="E9" s="362"/>
      <c r="F9" s="362"/>
      <c r="G9" s="362"/>
      <c r="K9" s="69"/>
      <c r="Q9" s="73"/>
      <c r="R9" s="74"/>
      <c r="AA9" s="72"/>
    </row>
    <row r="10" spans="1:67" s="56" customFormat="1" ht="24.75" customHeight="1" x14ac:dyDescent="0.25">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25">
      <c r="A11" s="337" t="s">
        <v>8</v>
      </c>
      <c r="B11" s="338"/>
      <c r="C11" s="338"/>
      <c r="D11" s="338"/>
      <c r="E11" s="338"/>
      <c r="F11" s="338"/>
      <c r="G11" s="338"/>
      <c r="H11" s="339"/>
      <c r="I11" s="359" t="s">
        <v>9</v>
      </c>
      <c r="J11" s="360"/>
      <c r="K11" s="360"/>
      <c r="L11" s="360"/>
      <c r="M11" s="360"/>
      <c r="N11" s="361"/>
      <c r="O11" s="354" t="s">
        <v>10</v>
      </c>
      <c r="P11" s="354"/>
      <c r="Q11" s="354"/>
      <c r="R11" s="354"/>
      <c r="S11" s="354"/>
      <c r="T11" s="354"/>
      <c r="U11" s="354"/>
      <c r="V11" s="354"/>
      <c r="W11" s="354"/>
      <c r="X11" s="354"/>
      <c r="Y11" s="354"/>
      <c r="Z11" s="354"/>
      <c r="AA11" s="354"/>
      <c r="AB11" s="354"/>
      <c r="AC11" s="354"/>
      <c r="AD11" s="337" t="s">
        <v>11</v>
      </c>
      <c r="AE11" s="338"/>
      <c r="AF11" s="339"/>
    </row>
    <row r="12" spans="1:67" s="57" customFormat="1" ht="56.25" customHeight="1" x14ac:dyDescent="0.25">
      <c r="A12" s="178" t="s">
        <v>12</v>
      </c>
      <c r="B12" s="178" t="s">
        <v>13</v>
      </c>
      <c r="C12" s="178" t="s">
        <v>14</v>
      </c>
      <c r="D12" s="178" t="s">
        <v>15</v>
      </c>
      <c r="E12" s="178" t="s">
        <v>16</v>
      </c>
      <c r="F12" s="178" t="s">
        <v>17</v>
      </c>
      <c r="G12" s="178" t="s">
        <v>18</v>
      </c>
      <c r="H12" s="178" t="s">
        <v>19</v>
      </c>
      <c r="I12" s="179" t="s">
        <v>20</v>
      </c>
      <c r="J12" s="179">
        <v>2016</v>
      </c>
      <c r="K12" s="179">
        <v>2017</v>
      </c>
      <c r="L12" s="179">
        <v>2018</v>
      </c>
      <c r="M12" s="179">
        <v>2019</v>
      </c>
      <c r="N12" s="179">
        <v>2020</v>
      </c>
      <c r="O12" s="180" t="s">
        <v>21</v>
      </c>
      <c r="P12" s="180" t="s">
        <v>22</v>
      </c>
      <c r="Q12" s="180" t="s">
        <v>23</v>
      </c>
      <c r="R12" s="180" t="s">
        <v>24</v>
      </c>
      <c r="S12" s="180" t="s">
        <v>25</v>
      </c>
      <c r="T12" s="180" t="s">
        <v>26</v>
      </c>
      <c r="U12" s="180" t="s">
        <v>27</v>
      </c>
      <c r="V12" s="180" t="s">
        <v>28</v>
      </c>
      <c r="W12" s="180" t="s">
        <v>29</v>
      </c>
      <c r="X12" s="180" t="s">
        <v>30</v>
      </c>
      <c r="Y12" s="180" t="s">
        <v>31</v>
      </c>
      <c r="Z12" s="180" t="s">
        <v>32</v>
      </c>
      <c r="AA12" s="180" t="s">
        <v>33</v>
      </c>
      <c r="AB12" s="181" t="s">
        <v>34</v>
      </c>
      <c r="AC12" s="180" t="s">
        <v>35</v>
      </c>
      <c r="AD12" s="182" t="s">
        <v>36</v>
      </c>
      <c r="AE12" s="182" t="s">
        <v>37</v>
      </c>
      <c r="AF12" s="182" t="s">
        <v>38</v>
      </c>
    </row>
    <row r="13" spans="1:67" s="59" customFormat="1" ht="84.75" customHeight="1" x14ac:dyDescent="0.3">
      <c r="A13" s="303" t="s">
        <v>39</v>
      </c>
      <c r="B13" s="303" t="s">
        <v>40</v>
      </c>
      <c r="C13" s="303">
        <v>224</v>
      </c>
      <c r="D13" s="303" t="s">
        <v>41</v>
      </c>
      <c r="E13" s="303">
        <v>171</v>
      </c>
      <c r="F13" s="307" t="s">
        <v>42</v>
      </c>
      <c r="G13" s="303" t="s">
        <v>43</v>
      </c>
      <c r="H13" s="303" t="s">
        <v>44</v>
      </c>
      <c r="I13" s="358" t="e">
        <f>SUM(J13:N14)</f>
        <v>#REF!</v>
      </c>
      <c r="J13" s="340" t="e">
        <f>+#REF!</f>
        <v>#REF!</v>
      </c>
      <c r="K13" s="342" t="e">
        <f>+#REF!</f>
        <v>#REF!</v>
      </c>
      <c r="L13" s="364" t="e">
        <f>+#REF!</f>
        <v>#REF!</v>
      </c>
      <c r="M13" s="340" t="e">
        <f>+#REF!</f>
        <v>#REF!</v>
      </c>
      <c r="N13" s="340" t="e">
        <f>+#REF!</f>
        <v>#REF!</v>
      </c>
      <c r="O13" s="335" t="e">
        <f>+#REF!</f>
        <v>#REF!</v>
      </c>
      <c r="P13" s="335">
        <v>6.45</v>
      </c>
      <c r="Q13" s="335">
        <v>31.03</v>
      </c>
      <c r="R13" s="335"/>
      <c r="S13" s="335" t="e">
        <f>+#REF!</f>
        <v>#REF!</v>
      </c>
      <c r="T13" s="335" t="e">
        <f>+#REF!</f>
        <v>#REF!</v>
      </c>
      <c r="U13" s="335" t="e">
        <f>+#REF!</f>
        <v>#REF!</v>
      </c>
      <c r="V13" s="335" t="e">
        <f>+#REF!</f>
        <v>#REF!</v>
      </c>
      <c r="W13" s="335" t="e">
        <f>+#REF!</f>
        <v>#REF!</v>
      </c>
      <c r="X13" s="335" t="e">
        <f>+#REF!</f>
        <v>#REF!</v>
      </c>
      <c r="Y13" s="335" t="e">
        <f>+#REF!</f>
        <v>#REF!</v>
      </c>
      <c r="Z13" s="335" t="e">
        <f>+#REF!</f>
        <v>#REF!</v>
      </c>
      <c r="AA13" s="346" t="e">
        <f>SUM(O13:Z14)</f>
        <v>#REF!</v>
      </c>
      <c r="AB13" s="310" t="e">
        <f>+AA13/K13</f>
        <v>#REF!</v>
      </c>
      <c r="AC13" s="310" t="e">
        <f>+(J13+AA13)/I13</f>
        <v>#REF!</v>
      </c>
      <c r="AD13" s="344" t="s">
        <v>45</v>
      </c>
      <c r="AE13" s="297" t="s">
        <v>46</v>
      </c>
      <c r="AF13" s="344"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3">
      <c r="A14" s="303"/>
      <c r="B14" s="303"/>
      <c r="C14" s="303"/>
      <c r="D14" s="303"/>
      <c r="E14" s="303"/>
      <c r="F14" s="307"/>
      <c r="G14" s="303"/>
      <c r="H14" s="303"/>
      <c r="I14" s="358"/>
      <c r="J14" s="341"/>
      <c r="K14" s="343"/>
      <c r="L14" s="365"/>
      <c r="M14" s="341"/>
      <c r="N14" s="341"/>
      <c r="O14" s="336"/>
      <c r="P14" s="336"/>
      <c r="Q14" s="336"/>
      <c r="R14" s="336"/>
      <c r="S14" s="336"/>
      <c r="T14" s="336"/>
      <c r="U14" s="336"/>
      <c r="V14" s="336"/>
      <c r="W14" s="336"/>
      <c r="X14" s="336"/>
      <c r="Y14" s="336"/>
      <c r="Z14" s="336"/>
      <c r="AA14" s="347"/>
      <c r="AB14" s="310"/>
      <c r="AC14" s="310"/>
      <c r="AD14" s="345"/>
      <c r="AE14" s="298"/>
      <c r="AF14" s="345"/>
    </row>
    <row r="15" spans="1:67" ht="89.25" customHeight="1" x14ac:dyDescent="0.3">
      <c r="A15" s="303" t="s">
        <v>39</v>
      </c>
      <c r="B15" s="303" t="s">
        <v>48</v>
      </c>
      <c r="C15" s="303">
        <v>223</v>
      </c>
      <c r="D15" s="303" t="s">
        <v>49</v>
      </c>
      <c r="E15" s="303">
        <v>170</v>
      </c>
      <c r="F15" s="307" t="s">
        <v>50</v>
      </c>
      <c r="G15" s="303" t="s">
        <v>43</v>
      </c>
      <c r="H15" s="303" t="s">
        <v>44</v>
      </c>
      <c r="I15" s="358" t="e">
        <f>SUM(J15:N16)</f>
        <v>#REF!</v>
      </c>
      <c r="J15" s="333" t="e">
        <f>+#REF!</f>
        <v>#REF!</v>
      </c>
      <c r="K15" s="349" t="e">
        <f>+#REF!</f>
        <v>#REF!</v>
      </c>
      <c r="L15" s="351" t="e">
        <f>+#REF!</f>
        <v>#REF!</v>
      </c>
      <c r="M15" s="333" t="e">
        <f>+#REF!</f>
        <v>#REF!</v>
      </c>
      <c r="N15" s="333" t="e">
        <f>+#REF!</f>
        <v>#REF!</v>
      </c>
      <c r="O15" s="335">
        <v>53</v>
      </c>
      <c r="P15" s="335">
        <v>712</v>
      </c>
      <c r="Q15" s="335">
        <v>881</v>
      </c>
      <c r="R15" s="335"/>
      <c r="S15" s="335" t="e">
        <f>+#REF!</f>
        <v>#REF!</v>
      </c>
      <c r="T15" s="335" t="e">
        <f>+#REF!</f>
        <v>#REF!</v>
      </c>
      <c r="U15" s="335" t="e">
        <f>+#REF!</f>
        <v>#REF!</v>
      </c>
      <c r="V15" s="335" t="e">
        <f>+#REF!</f>
        <v>#REF!</v>
      </c>
      <c r="W15" s="335" t="e">
        <f>+#REF!</f>
        <v>#REF!</v>
      </c>
      <c r="X15" s="335" t="e">
        <f>+#REF!</f>
        <v>#REF!</v>
      </c>
      <c r="Y15" s="335" t="e">
        <f>+#REF!</f>
        <v>#REF!</v>
      </c>
      <c r="Z15" s="335" t="e">
        <f>+#REF!</f>
        <v>#REF!</v>
      </c>
      <c r="AA15" s="346" t="e">
        <f>SUM(O15:Z16)</f>
        <v>#REF!</v>
      </c>
      <c r="AB15" s="310" t="e">
        <f>+AA15/K15</f>
        <v>#REF!</v>
      </c>
      <c r="AC15" s="310" t="e">
        <f>+(J15+AA15)/I15</f>
        <v>#REF!</v>
      </c>
      <c r="AD15" s="344" t="s">
        <v>51</v>
      </c>
      <c r="AE15" s="297" t="s">
        <v>46</v>
      </c>
      <c r="AF15" s="344" t="s">
        <v>52</v>
      </c>
    </row>
    <row r="16" spans="1:67" ht="140.25" customHeight="1" x14ac:dyDescent="0.3">
      <c r="A16" s="303"/>
      <c r="B16" s="303"/>
      <c r="C16" s="303"/>
      <c r="D16" s="303"/>
      <c r="E16" s="303"/>
      <c r="F16" s="307"/>
      <c r="G16" s="303"/>
      <c r="H16" s="303"/>
      <c r="I16" s="358"/>
      <c r="J16" s="334"/>
      <c r="K16" s="350"/>
      <c r="L16" s="352"/>
      <c r="M16" s="334"/>
      <c r="N16" s="334"/>
      <c r="O16" s="336"/>
      <c r="P16" s="336"/>
      <c r="Q16" s="336"/>
      <c r="R16" s="336"/>
      <c r="S16" s="336"/>
      <c r="T16" s="336"/>
      <c r="U16" s="336"/>
      <c r="V16" s="336"/>
      <c r="W16" s="336"/>
      <c r="X16" s="336"/>
      <c r="Y16" s="336"/>
      <c r="Z16" s="336"/>
      <c r="AA16" s="347"/>
      <c r="AB16" s="310"/>
      <c r="AC16" s="310"/>
      <c r="AD16" s="345"/>
      <c r="AE16" s="298"/>
      <c r="AF16" s="345"/>
    </row>
    <row r="17" spans="1:32" ht="62.25" customHeight="1" x14ac:dyDescent="0.3">
      <c r="A17" s="303" t="s">
        <v>39</v>
      </c>
      <c r="B17" s="304" t="s">
        <v>53</v>
      </c>
      <c r="C17" s="303">
        <v>231</v>
      </c>
      <c r="D17" s="303" t="s">
        <v>54</v>
      </c>
      <c r="E17" s="303">
        <v>178</v>
      </c>
      <c r="F17" s="307" t="s">
        <v>55</v>
      </c>
      <c r="G17" s="303" t="s">
        <v>56</v>
      </c>
      <c r="H17" s="303" t="s">
        <v>44</v>
      </c>
      <c r="I17" s="311">
        <f>SUM(J17:N18)</f>
        <v>1</v>
      </c>
      <c r="J17" s="308">
        <v>0.05</v>
      </c>
      <c r="K17" s="305">
        <v>0.28999999999999998</v>
      </c>
      <c r="L17" s="321">
        <v>0.25</v>
      </c>
      <c r="M17" s="305">
        <v>0.4</v>
      </c>
      <c r="N17" s="305">
        <v>0.01</v>
      </c>
      <c r="O17" s="313">
        <v>0.19</v>
      </c>
      <c r="P17" s="314"/>
      <c r="Q17" s="314"/>
      <c r="R17" s="317">
        <v>0</v>
      </c>
      <c r="S17" s="318"/>
      <c r="T17" s="318"/>
      <c r="U17" s="327">
        <v>0</v>
      </c>
      <c r="V17" s="328"/>
      <c r="W17" s="328"/>
      <c r="X17" s="327">
        <v>0</v>
      </c>
      <c r="Y17" s="328"/>
      <c r="Z17" s="328"/>
      <c r="AA17" s="331">
        <f>+R17+O17+U17+X17</f>
        <v>0.19</v>
      </c>
      <c r="AB17" s="310">
        <f>+AA17/K17</f>
        <v>0.65517241379310354</v>
      </c>
      <c r="AC17" s="310">
        <f>+(J17+AA17)/I17</f>
        <v>0.24</v>
      </c>
      <c r="AD17" s="323" t="s">
        <v>57</v>
      </c>
      <c r="AE17" s="297" t="s">
        <v>46</v>
      </c>
      <c r="AF17" s="323" t="s">
        <v>58</v>
      </c>
    </row>
    <row r="18" spans="1:32" ht="200.25" customHeight="1" x14ac:dyDescent="0.3">
      <c r="A18" s="303"/>
      <c r="B18" s="304"/>
      <c r="C18" s="303"/>
      <c r="D18" s="303"/>
      <c r="E18" s="303"/>
      <c r="F18" s="307"/>
      <c r="G18" s="303"/>
      <c r="H18" s="303"/>
      <c r="I18" s="312"/>
      <c r="J18" s="309"/>
      <c r="K18" s="306"/>
      <c r="L18" s="322"/>
      <c r="M18" s="306"/>
      <c r="N18" s="306"/>
      <c r="O18" s="315"/>
      <c r="P18" s="316"/>
      <c r="Q18" s="316"/>
      <c r="R18" s="319"/>
      <c r="S18" s="320"/>
      <c r="T18" s="320"/>
      <c r="U18" s="329"/>
      <c r="V18" s="330"/>
      <c r="W18" s="330"/>
      <c r="X18" s="329"/>
      <c r="Y18" s="330"/>
      <c r="Z18" s="330"/>
      <c r="AA18" s="332"/>
      <c r="AB18" s="310"/>
      <c r="AC18" s="310"/>
      <c r="AD18" s="324"/>
      <c r="AE18" s="298"/>
      <c r="AF18" s="324"/>
    </row>
    <row r="19" spans="1:32" ht="62.25" customHeight="1" x14ac:dyDescent="0.3">
      <c r="A19" s="303" t="s">
        <v>39</v>
      </c>
      <c r="B19" s="304" t="s">
        <v>59</v>
      </c>
      <c r="C19" s="303">
        <v>232</v>
      </c>
      <c r="D19" s="303" t="s">
        <v>60</v>
      </c>
      <c r="E19" s="303">
        <v>179</v>
      </c>
      <c r="F19" s="307" t="s">
        <v>61</v>
      </c>
      <c r="G19" s="303" t="s">
        <v>56</v>
      </c>
      <c r="H19" s="303" t="s">
        <v>44</v>
      </c>
      <c r="I19" s="311">
        <f>SUM(J19:N20)</f>
        <v>1</v>
      </c>
      <c r="J19" s="308">
        <v>0.01</v>
      </c>
      <c r="K19" s="305">
        <v>0.15</v>
      </c>
      <c r="L19" s="321">
        <v>0.42</v>
      </c>
      <c r="M19" s="305">
        <v>0.42</v>
      </c>
      <c r="N19" s="305">
        <v>0</v>
      </c>
      <c r="O19" s="299">
        <v>0.35</v>
      </c>
      <c r="P19" s="300"/>
      <c r="Q19" s="300"/>
      <c r="R19" s="313">
        <v>0</v>
      </c>
      <c r="S19" s="314"/>
      <c r="T19" s="314"/>
      <c r="U19" s="299">
        <v>0</v>
      </c>
      <c r="V19" s="300"/>
      <c r="W19" s="300"/>
      <c r="X19" s="299">
        <v>0</v>
      </c>
      <c r="Y19" s="300"/>
      <c r="Z19" s="300"/>
      <c r="AA19" s="325">
        <f>+R19+O19+U19+X19</f>
        <v>0.35</v>
      </c>
      <c r="AB19" s="310">
        <f>+AA19/K19</f>
        <v>2.3333333333333335</v>
      </c>
      <c r="AC19" s="310">
        <f>+(J19+AA19)/I19</f>
        <v>0.36</v>
      </c>
      <c r="AD19" s="323" t="s">
        <v>62</v>
      </c>
      <c r="AE19" s="297" t="s">
        <v>46</v>
      </c>
      <c r="AF19" s="323" t="s">
        <v>58</v>
      </c>
    </row>
    <row r="20" spans="1:32" ht="298.5" customHeight="1" x14ac:dyDescent="0.3">
      <c r="A20" s="303"/>
      <c r="B20" s="304"/>
      <c r="C20" s="303"/>
      <c r="D20" s="303"/>
      <c r="E20" s="303"/>
      <c r="F20" s="307"/>
      <c r="G20" s="303"/>
      <c r="H20" s="303"/>
      <c r="I20" s="312"/>
      <c r="J20" s="309"/>
      <c r="K20" s="306"/>
      <c r="L20" s="322"/>
      <c r="M20" s="306"/>
      <c r="N20" s="306"/>
      <c r="O20" s="301"/>
      <c r="P20" s="302"/>
      <c r="Q20" s="302"/>
      <c r="R20" s="315"/>
      <c r="S20" s="316"/>
      <c r="T20" s="316"/>
      <c r="U20" s="301"/>
      <c r="V20" s="302"/>
      <c r="W20" s="302"/>
      <c r="X20" s="301"/>
      <c r="Y20" s="302"/>
      <c r="Z20" s="302"/>
      <c r="AA20" s="326"/>
      <c r="AB20" s="310"/>
      <c r="AC20" s="310"/>
      <c r="AD20" s="324"/>
      <c r="AE20" s="298"/>
      <c r="AF20" s="324"/>
    </row>
    <row r="21" spans="1:32" ht="62.25" customHeight="1" x14ac:dyDescent="0.3">
      <c r="A21" s="303" t="s">
        <v>39</v>
      </c>
      <c r="B21" s="304" t="s">
        <v>63</v>
      </c>
      <c r="C21" s="303">
        <v>233</v>
      </c>
      <c r="D21" s="303" t="s">
        <v>64</v>
      </c>
      <c r="E21" s="303">
        <v>180</v>
      </c>
      <c r="F21" s="307" t="s">
        <v>65</v>
      </c>
      <c r="G21" s="303" t="s">
        <v>56</v>
      </c>
      <c r="H21" s="303" t="s">
        <v>44</v>
      </c>
      <c r="I21" s="311">
        <f>SUM(J21:N22)</f>
        <v>1</v>
      </c>
      <c r="J21" s="308">
        <v>0.01</v>
      </c>
      <c r="K21" s="305">
        <v>0.1</v>
      </c>
      <c r="L21" s="321">
        <v>0.3</v>
      </c>
      <c r="M21" s="305">
        <v>0.55000000000000004</v>
      </c>
      <c r="N21" s="305">
        <v>0.04</v>
      </c>
      <c r="O21" s="299">
        <v>4.4999999999999998E-2</v>
      </c>
      <c r="P21" s="300"/>
      <c r="Q21" s="300"/>
      <c r="R21" s="299">
        <v>0</v>
      </c>
      <c r="S21" s="300"/>
      <c r="T21" s="300"/>
      <c r="U21" s="299">
        <v>0</v>
      </c>
      <c r="V21" s="300"/>
      <c r="W21" s="300"/>
      <c r="X21" s="299">
        <v>0</v>
      </c>
      <c r="Y21" s="300"/>
      <c r="Z21" s="300"/>
      <c r="AA21" s="325">
        <f>+R21+O21+U21+X21</f>
        <v>4.4999999999999998E-2</v>
      </c>
      <c r="AB21" s="310">
        <f>+AA21/K21</f>
        <v>0.44999999999999996</v>
      </c>
      <c r="AC21" s="310">
        <f>+(J21+AA21)/I21</f>
        <v>5.5E-2</v>
      </c>
      <c r="AD21" s="323" t="s">
        <v>66</v>
      </c>
      <c r="AE21" s="297" t="s">
        <v>46</v>
      </c>
      <c r="AF21" s="323" t="s">
        <v>58</v>
      </c>
    </row>
    <row r="22" spans="1:32" ht="124.5" customHeight="1" x14ac:dyDescent="0.3">
      <c r="A22" s="303"/>
      <c r="B22" s="304"/>
      <c r="C22" s="303"/>
      <c r="D22" s="303"/>
      <c r="E22" s="303"/>
      <c r="F22" s="307"/>
      <c r="G22" s="303"/>
      <c r="H22" s="303"/>
      <c r="I22" s="312"/>
      <c r="J22" s="309"/>
      <c r="K22" s="306"/>
      <c r="L22" s="322"/>
      <c r="M22" s="306"/>
      <c r="N22" s="306"/>
      <c r="O22" s="301"/>
      <c r="P22" s="302"/>
      <c r="Q22" s="302"/>
      <c r="R22" s="301"/>
      <c r="S22" s="302"/>
      <c r="T22" s="302"/>
      <c r="U22" s="301"/>
      <c r="V22" s="302"/>
      <c r="W22" s="302"/>
      <c r="X22" s="301"/>
      <c r="Y22" s="302"/>
      <c r="Z22" s="302"/>
      <c r="AA22" s="326"/>
      <c r="AB22" s="310"/>
      <c r="AC22" s="310"/>
      <c r="AD22" s="324"/>
      <c r="AE22" s="298"/>
      <c r="AF22" s="324"/>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opLeftCell="A47" zoomScale="85" zoomScaleNormal="85" zoomScaleSheetLayoutView="50" zoomScalePageLayoutView="85" workbookViewId="0">
      <selection activeCell="C51" sqref="C51:I51"/>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14.6640625" style="83" customWidth="1"/>
    <col min="5" max="5" width="16.44140625" style="83" customWidth="1"/>
    <col min="6" max="6" width="25" style="83" customWidth="1"/>
    <col min="7" max="7" width="22" style="114" customWidth="1"/>
    <col min="8" max="9" width="17.6640625" style="83" customWidth="1"/>
    <col min="10" max="11" width="22.44140625" style="83" customWidth="1"/>
    <col min="12" max="24" width="10.6640625" style="81"/>
    <col min="25" max="16384" width="10.6640625" style="83"/>
  </cols>
  <sheetData>
    <row r="1" spans="2:14" ht="37.5" customHeight="1" x14ac:dyDescent="0.25">
      <c r="B1" s="579"/>
      <c r="C1" s="582" t="s">
        <v>1</v>
      </c>
      <c r="D1" s="582"/>
      <c r="E1" s="582"/>
      <c r="F1" s="582"/>
      <c r="G1" s="582"/>
      <c r="H1" s="582"/>
      <c r="I1" s="583"/>
      <c r="J1" s="80"/>
      <c r="K1" s="80"/>
      <c r="M1" s="82" t="s">
        <v>67</v>
      </c>
    </row>
    <row r="2" spans="2:14" ht="37.5" customHeight="1" x14ac:dyDescent="0.25">
      <c r="B2" s="580"/>
      <c r="C2" s="586" t="s">
        <v>218</v>
      </c>
      <c r="D2" s="586"/>
      <c r="E2" s="586"/>
      <c r="F2" s="586"/>
      <c r="G2" s="586"/>
      <c r="H2" s="586"/>
      <c r="I2" s="584"/>
      <c r="J2" s="80"/>
      <c r="K2" s="80"/>
      <c r="M2" s="82" t="s">
        <v>68</v>
      </c>
    </row>
    <row r="3" spans="2:14" ht="37.5" customHeight="1" thickBot="1" x14ac:dyDescent="0.3">
      <c r="B3" s="581"/>
      <c r="C3" s="587" t="s">
        <v>219</v>
      </c>
      <c r="D3" s="587"/>
      <c r="E3" s="587"/>
      <c r="F3" s="587" t="s">
        <v>220</v>
      </c>
      <c r="G3" s="587"/>
      <c r="H3" s="587"/>
      <c r="I3" s="585"/>
      <c r="J3" s="80"/>
      <c r="K3" s="80"/>
      <c r="M3" s="82" t="s">
        <v>70</v>
      </c>
    </row>
    <row r="4" spans="2:14" ht="23.25" customHeight="1" x14ac:dyDescent="0.25">
      <c r="B4" s="575" t="s">
        <v>221</v>
      </c>
      <c r="C4" s="576"/>
      <c r="D4" s="576"/>
      <c r="E4" s="576"/>
      <c r="F4" s="576"/>
      <c r="G4" s="576"/>
      <c r="H4" s="576"/>
      <c r="I4" s="577"/>
      <c r="J4" s="84"/>
      <c r="K4" s="84"/>
    </row>
    <row r="5" spans="2:14" ht="24" customHeight="1" x14ac:dyDescent="0.25">
      <c r="B5" s="512" t="s">
        <v>222</v>
      </c>
      <c r="C5" s="513"/>
      <c r="D5" s="513"/>
      <c r="E5" s="513"/>
      <c r="F5" s="513"/>
      <c r="G5" s="513"/>
      <c r="H5" s="513"/>
      <c r="I5" s="514"/>
      <c r="J5" s="85"/>
      <c r="K5" s="85"/>
      <c r="N5" s="86" t="s">
        <v>77</v>
      </c>
    </row>
    <row r="6" spans="2:14" ht="46.2" customHeight="1" x14ac:dyDescent="0.25">
      <c r="B6" s="118" t="s">
        <v>223</v>
      </c>
      <c r="C6" s="134">
        <v>7</v>
      </c>
      <c r="D6" s="578" t="s">
        <v>224</v>
      </c>
      <c r="E6" s="578"/>
      <c r="F6" s="556" t="s">
        <v>406</v>
      </c>
      <c r="G6" s="556"/>
      <c r="H6" s="556"/>
      <c r="I6" s="557"/>
      <c r="J6" s="87"/>
      <c r="K6" s="87"/>
      <c r="M6" s="82" t="s">
        <v>81</v>
      </c>
      <c r="N6" s="86" t="s">
        <v>82</v>
      </c>
    </row>
    <row r="7" spans="2:14" ht="30.75" customHeight="1" x14ac:dyDescent="0.25">
      <c r="B7" s="118" t="s">
        <v>226</v>
      </c>
      <c r="C7" s="134" t="s">
        <v>84</v>
      </c>
      <c r="D7" s="578" t="s">
        <v>227</v>
      </c>
      <c r="E7" s="578"/>
      <c r="F7" s="556" t="s">
        <v>407</v>
      </c>
      <c r="G7" s="556"/>
      <c r="H7" s="135" t="s">
        <v>229</v>
      </c>
      <c r="I7" s="136" t="s">
        <v>84</v>
      </c>
      <c r="J7" s="88"/>
      <c r="K7" s="88"/>
      <c r="M7" s="82" t="s">
        <v>88</v>
      </c>
      <c r="N7" s="86" t="s">
        <v>89</v>
      </c>
    </row>
    <row r="8" spans="2:14" ht="30.75" customHeight="1" x14ac:dyDescent="0.25">
      <c r="B8" s="118" t="s">
        <v>230</v>
      </c>
      <c r="C8" s="556" t="s">
        <v>231</v>
      </c>
      <c r="D8" s="556"/>
      <c r="E8" s="556"/>
      <c r="F8" s="556"/>
      <c r="G8" s="135" t="s">
        <v>232</v>
      </c>
      <c r="H8" s="568">
        <v>7550</v>
      </c>
      <c r="I8" s="569"/>
      <c r="J8" s="89"/>
      <c r="K8" s="89"/>
      <c r="M8" s="82" t="s">
        <v>93</v>
      </c>
      <c r="N8" s="86" t="s">
        <v>44</v>
      </c>
    </row>
    <row r="9" spans="2:14" ht="30.75" customHeight="1" x14ac:dyDescent="0.25">
      <c r="B9" s="118" t="s">
        <v>68</v>
      </c>
      <c r="C9" s="570" t="s">
        <v>81</v>
      </c>
      <c r="D9" s="570"/>
      <c r="E9" s="570"/>
      <c r="F9" s="570"/>
      <c r="G9" s="135" t="s">
        <v>233</v>
      </c>
      <c r="H9" s="571" t="s">
        <v>408</v>
      </c>
      <c r="I9" s="572"/>
      <c r="J9" s="90"/>
      <c r="K9" s="90"/>
      <c r="M9" s="91" t="s">
        <v>97</v>
      </c>
    </row>
    <row r="10" spans="2:14" ht="58.95" customHeight="1" x14ac:dyDescent="0.25">
      <c r="B10" s="118" t="s">
        <v>235</v>
      </c>
      <c r="C10" s="556" t="s">
        <v>409</v>
      </c>
      <c r="D10" s="556"/>
      <c r="E10" s="556"/>
      <c r="F10" s="556"/>
      <c r="G10" s="556"/>
      <c r="H10" s="556"/>
      <c r="I10" s="557"/>
      <c r="J10" s="92"/>
      <c r="K10" s="92"/>
      <c r="M10" s="91"/>
    </row>
    <row r="11" spans="2:14" ht="30.75" customHeight="1" x14ac:dyDescent="0.25">
      <c r="B11" s="118" t="s">
        <v>237</v>
      </c>
      <c r="C11" s="549" t="s">
        <v>355</v>
      </c>
      <c r="D11" s="549"/>
      <c r="E11" s="549"/>
      <c r="F11" s="549"/>
      <c r="G11" s="549"/>
      <c r="H11" s="549"/>
      <c r="I11" s="573"/>
      <c r="J11" s="88"/>
      <c r="K11" s="88"/>
      <c r="M11" s="91"/>
      <c r="N11" s="86" t="s">
        <v>102</v>
      </c>
    </row>
    <row r="12" spans="2:14" ht="30.75" customHeight="1" x14ac:dyDescent="0.25">
      <c r="B12" s="118" t="s">
        <v>239</v>
      </c>
      <c r="C12" s="547" t="s">
        <v>410</v>
      </c>
      <c r="D12" s="547"/>
      <c r="E12" s="547"/>
      <c r="F12" s="547"/>
      <c r="G12" s="135" t="s">
        <v>241</v>
      </c>
      <c r="H12" s="561" t="s">
        <v>106</v>
      </c>
      <c r="I12" s="562"/>
      <c r="J12" s="88"/>
      <c r="K12" s="88"/>
      <c r="M12" s="91" t="s">
        <v>107</v>
      </c>
      <c r="N12" s="86" t="s">
        <v>84</v>
      </c>
    </row>
    <row r="13" spans="2:14" ht="30.75" customHeight="1" x14ac:dyDescent="0.25">
      <c r="B13" s="118" t="s">
        <v>242</v>
      </c>
      <c r="C13" s="574" t="s">
        <v>243</v>
      </c>
      <c r="D13" s="574"/>
      <c r="E13" s="574"/>
      <c r="F13" s="574"/>
      <c r="G13" s="135" t="s">
        <v>244</v>
      </c>
      <c r="H13" s="549" t="s">
        <v>77</v>
      </c>
      <c r="I13" s="573"/>
      <c r="J13" s="88"/>
      <c r="K13" s="88"/>
      <c r="M13" s="91" t="s">
        <v>111</v>
      </c>
    </row>
    <row r="14" spans="2:14" ht="30" customHeight="1" x14ac:dyDescent="0.25">
      <c r="B14" s="118" t="s">
        <v>245</v>
      </c>
      <c r="C14" s="547" t="s">
        <v>411</v>
      </c>
      <c r="D14" s="547"/>
      <c r="E14" s="547"/>
      <c r="F14" s="547"/>
      <c r="G14" s="547"/>
      <c r="H14" s="547"/>
      <c r="I14" s="548"/>
      <c r="J14" s="92"/>
      <c r="K14" s="92"/>
      <c r="M14" s="91" t="s">
        <v>114</v>
      </c>
      <c r="N14" s="86"/>
    </row>
    <row r="15" spans="2:14" ht="30.75" customHeight="1" x14ac:dyDescent="0.25">
      <c r="B15" s="118" t="s">
        <v>247</v>
      </c>
      <c r="C15" s="547" t="s">
        <v>412</v>
      </c>
      <c r="D15" s="547"/>
      <c r="E15" s="547"/>
      <c r="F15" s="547"/>
      <c r="G15" s="547"/>
      <c r="H15" s="547"/>
      <c r="I15" s="548"/>
      <c r="J15" s="93"/>
      <c r="K15" s="93"/>
      <c r="M15" s="91" t="s">
        <v>118</v>
      </c>
      <c r="N15" s="86"/>
    </row>
    <row r="16" spans="2:14" ht="42.45" customHeight="1" x14ac:dyDescent="0.25">
      <c r="B16" s="118" t="s">
        <v>249</v>
      </c>
      <c r="C16" s="556" t="s">
        <v>413</v>
      </c>
      <c r="D16" s="556"/>
      <c r="E16" s="556"/>
      <c r="F16" s="556"/>
      <c r="G16" s="556"/>
      <c r="H16" s="556"/>
      <c r="I16" s="557"/>
      <c r="J16" s="94"/>
      <c r="K16" s="94"/>
      <c r="M16" s="91"/>
      <c r="N16" s="86"/>
    </row>
    <row r="17" spans="2:14" ht="30.75" customHeight="1" x14ac:dyDescent="0.25">
      <c r="B17" s="118" t="s">
        <v>251</v>
      </c>
      <c r="C17" s="549" t="s">
        <v>43</v>
      </c>
      <c r="D17" s="550"/>
      <c r="E17" s="550"/>
      <c r="F17" s="550"/>
      <c r="G17" s="550"/>
      <c r="H17" s="550"/>
      <c r="I17" s="551"/>
      <c r="J17" s="95"/>
      <c r="K17" s="95"/>
      <c r="M17" s="91" t="s">
        <v>106</v>
      </c>
      <c r="N17" s="86"/>
    </row>
    <row r="18" spans="2:14" ht="18" customHeight="1" x14ac:dyDescent="0.25">
      <c r="B18" s="552" t="s">
        <v>253</v>
      </c>
      <c r="C18" s="553" t="s">
        <v>254</v>
      </c>
      <c r="D18" s="553"/>
      <c r="E18" s="553"/>
      <c r="F18" s="554" t="s">
        <v>255</v>
      </c>
      <c r="G18" s="554"/>
      <c r="H18" s="554"/>
      <c r="I18" s="555"/>
      <c r="J18" s="96"/>
      <c r="K18" s="96"/>
      <c r="M18" s="91" t="s">
        <v>128</v>
      </c>
      <c r="N18" s="86"/>
    </row>
    <row r="19" spans="2:14" ht="39.75" customHeight="1" x14ac:dyDescent="0.25">
      <c r="B19" s="552"/>
      <c r="C19" s="521" t="s">
        <v>414</v>
      </c>
      <c r="D19" s="522"/>
      <c r="E19" s="543"/>
      <c r="F19" s="556" t="str">
        <f>C19</f>
        <v>Actividades que se ejecutaron para la implementacion de los procesos transversales</v>
      </c>
      <c r="G19" s="556"/>
      <c r="H19" s="556"/>
      <c r="I19" s="557"/>
      <c r="J19" s="94"/>
      <c r="K19" s="94"/>
      <c r="M19" s="91" t="s">
        <v>132</v>
      </c>
      <c r="N19" s="86"/>
    </row>
    <row r="20" spans="2:14" ht="39.75" customHeight="1" x14ac:dyDescent="0.25">
      <c r="B20" s="118" t="s">
        <v>258</v>
      </c>
      <c r="C20" s="521" t="s">
        <v>383</v>
      </c>
      <c r="D20" s="522"/>
      <c r="E20" s="543"/>
      <c r="F20" s="556" t="str">
        <f>C20</f>
        <v>Cantidad de actividades que se ejecutaron para la implementacion de los procesos transversales</v>
      </c>
      <c r="G20" s="556"/>
      <c r="H20" s="556"/>
      <c r="I20" s="557"/>
      <c r="J20" s="88"/>
      <c r="K20" s="88"/>
      <c r="M20" s="91"/>
      <c r="N20" s="86"/>
    </row>
    <row r="21" spans="2:14" ht="27" customHeight="1" x14ac:dyDescent="0.25">
      <c r="B21" s="118" t="s">
        <v>259</v>
      </c>
      <c r="C21" s="521" t="s">
        <v>43</v>
      </c>
      <c r="D21" s="522"/>
      <c r="E21" s="543"/>
      <c r="F21" s="521" t="s">
        <v>43</v>
      </c>
      <c r="G21" s="522"/>
      <c r="H21" s="522"/>
      <c r="I21" s="523"/>
      <c r="J21" s="93"/>
      <c r="K21" s="93"/>
      <c r="M21" s="97"/>
      <c r="N21" s="86"/>
    </row>
    <row r="22" spans="2:14" ht="23.25" customHeight="1" x14ac:dyDescent="0.25">
      <c r="B22" s="118" t="s">
        <v>262</v>
      </c>
      <c r="C22" s="617">
        <v>44562</v>
      </c>
      <c r="D22" s="628"/>
      <c r="E22" s="629"/>
      <c r="F22" s="135" t="s">
        <v>263</v>
      </c>
      <c r="G22" s="243">
        <v>0.1</v>
      </c>
      <c r="H22" s="135" t="s">
        <v>264</v>
      </c>
      <c r="I22" s="247">
        <v>0.1</v>
      </c>
      <c r="K22" s="98"/>
      <c r="M22" s="97"/>
    </row>
    <row r="23" spans="2:14" ht="27" customHeight="1" x14ac:dyDescent="0.25">
      <c r="B23" s="118" t="s">
        <v>265</v>
      </c>
      <c r="C23" s="617">
        <v>44926</v>
      </c>
      <c r="D23" s="618"/>
      <c r="E23" s="619"/>
      <c r="F23" s="135" t="s">
        <v>266</v>
      </c>
      <c r="G23" s="544">
        <v>0.3</v>
      </c>
      <c r="H23" s="545"/>
      <c r="I23" s="546"/>
      <c r="J23" s="99"/>
      <c r="K23" s="99"/>
      <c r="M23" s="97"/>
    </row>
    <row r="24" spans="2:14" ht="30.75" customHeight="1" x14ac:dyDescent="0.25">
      <c r="B24" s="226" t="s">
        <v>267</v>
      </c>
      <c r="C24" s="590" t="s">
        <v>268</v>
      </c>
      <c r="D24" s="591"/>
      <c r="E24" s="592"/>
      <c r="F24" s="227" t="s">
        <v>269</v>
      </c>
      <c r="G24" s="521" t="s">
        <v>46</v>
      </c>
      <c r="H24" s="522"/>
      <c r="I24" s="523"/>
      <c r="K24" s="96"/>
      <c r="M24" s="97"/>
    </row>
    <row r="25" spans="2:14" ht="22.5" customHeight="1" x14ac:dyDescent="0.25">
      <c r="B25" s="512" t="s">
        <v>270</v>
      </c>
      <c r="C25" s="513"/>
      <c r="D25" s="513"/>
      <c r="E25" s="513"/>
      <c r="F25" s="513"/>
      <c r="G25" s="513"/>
      <c r="H25" s="513"/>
      <c r="I25" s="514"/>
      <c r="J25" s="85"/>
      <c r="K25" s="85"/>
      <c r="M25" s="97"/>
    </row>
    <row r="26" spans="2:14" ht="43.5" customHeight="1" x14ac:dyDescent="0.25">
      <c r="B26" s="100" t="s">
        <v>148</v>
      </c>
      <c r="C26" s="138" t="s">
        <v>271</v>
      </c>
      <c r="D26" s="138" t="s">
        <v>272</v>
      </c>
      <c r="E26" s="139" t="s">
        <v>273</v>
      </c>
      <c r="F26" s="138" t="s">
        <v>274</v>
      </c>
      <c r="G26" s="138" t="s">
        <v>275</v>
      </c>
      <c r="H26" s="139" t="s">
        <v>276</v>
      </c>
      <c r="I26" s="140" t="s">
        <v>277</v>
      </c>
      <c r="J26" s="94"/>
      <c r="K26" s="94"/>
      <c r="M26" s="97"/>
    </row>
    <row r="27" spans="2:14" ht="15.45" customHeight="1" x14ac:dyDescent="0.25">
      <c r="B27" s="100" t="s">
        <v>278</v>
      </c>
      <c r="C27" s="232">
        <f>4.69%*$G$23</f>
        <v>1.4070000000000001E-2</v>
      </c>
      <c r="D27" s="232">
        <f>4.69%*$G$23</f>
        <v>1.4070000000000001E-2</v>
      </c>
      <c r="E27" s="131">
        <f>+D27/C27</f>
        <v>1</v>
      </c>
      <c r="F27" s="593">
        <f>SUM(C27:C38)</f>
        <v>0.29993999999999998</v>
      </c>
      <c r="G27" s="593">
        <f>SUM(D27:D38)</f>
        <v>0.19335602671562901</v>
      </c>
      <c r="H27" s="233">
        <f>+(D27*100%)/$G$23</f>
        <v>4.6900000000000004E-2</v>
      </c>
      <c r="I27" s="839">
        <f>G27+I22</f>
        <v>0.29335602671562899</v>
      </c>
      <c r="J27" s="94"/>
      <c r="K27" s="94"/>
      <c r="M27" s="97"/>
    </row>
    <row r="28" spans="2:14" ht="15.45" customHeight="1" x14ac:dyDescent="0.25">
      <c r="B28" s="100" t="s">
        <v>158</v>
      </c>
      <c r="C28" s="232">
        <f>5.82%*$G$23</f>
        <v>1.746E-2</v>
      </c>
      <c r="D28" s="232">
        <f>0.1*$G$23</f>
        <v>0.03</v>
      </c>
      <c r="E28" s="131">
        <f t="shared" ref="E28:E38" si="0">+D28/C28</f>
        <v>1.7182130584192439</v>
      </c>
      <c r="F28" s="594"/>
      <c r="G28" s="594"/>
      <c r="H28" s="233">
        <f>+IF(D28="","",((D28*100%)/$G$23)+H27)</f>
        <v>0.1469</v>
      </c>
      <c r="I28" s="840"/>
      <c r="J28" s="94"/>
      <c r="K28" s="94"/>
      <c r="M28" s="97"/>
    </row>
    <row r="29" spans="2:14" ht="15.45" customHeight="1" x14ac:dyDescent="0.25">
      <c r="B29" s="100" t="s">
        <v>159</v>
      </c>
      <c r="C29" s="232">
        <f>11.82%*$G$23</f>
        <v>3.5459999999999998E-2</v>
      </c>
      <c r="D29" s="232">
        <f>8.64%*$G$23</f>
        <v>2.5920000000000002E-2</v>
      </c>
      <c r="E29" s="131">
        <f t="shared" si="0"/>
        <v>0.73096446700507622</v>
      </c>
      <c r="F29" s="594"/>
      <c r="G29" s="594"/>
      <c r="H29" s="233">
        <f>+IF(D29="","",((D29*100%)/$G$23)+H28)</f>
        <v>0.23330000000000001</v>
      </c>
      <c r="I29" s="840"/>
      <c r="J29" s="94"/>
      <c r="K29" s="94"/>
      <c r="M29" s="97"/>
    </row>
    <row r="30" spans="2:14" ht="15.45" customHeight="1" x14ac:dyDescent="0.25">
      <c r="B30" s="100" t="s">
        <v>160</v>
      </c>
      <c r="C30" s="232">
        <f>8.1%*$G$23</f>
        <v>2.4299999999999999E-2</v>
      </c>
      <c r="D30" s="232">
        <f>5.26%*$G$23</f>
        <v>1.5779999999999999E-2</v>
      </c>
      <c r="E30" s="131">
        <f t="shared" si="0"/>
        <v>0.64938271604938269</v>
      </c>
      <c r="F30" s="594"/>
      <c r="G30" s="594"/>
      <c r="H30" s="233">
        <f t="shared" ref="H30:H38" si="1">+IF(D30="","",((D30*100%)/$G$23)+H29)</f>
        <v>0.28589999999999999</v>
      </c>
      <c r="I30" s="840"/>
      <c r="J30" s="94"/>
      <c r="K30" s="94"/>
      <c r="M30" s="97"/>
    </row>
    <row r="31" spans="2:14" ht="15.45" customHeight="1" x14ac:dyDescent="0.25">
      <c r="B31" s="100" t="s">
        <v>161</v>
      </c>
      <c r="C31" s="232">
        <f>6.73%*$G$23</f>
        <v>2.019E-2</v>
      </c>
      <c r="D31" s="232">
        <f>6.73%*$G$23</f>
        <v>2.019E-2</v>
      </c>
      <c r="E31" s="131">
        <f t="shared" si="0"/>
        <v>1</v>
      </c>
      <c r="F31" s="594"/>
      <c r="G31" s="594"/>
      <c r="H31" s="233">
        <f t="shared" si="1"/>
        <v>0.35319999999999996</v>
      </c>
      <c r="I31" s="840"/>
      <c r="J31" s="94"/>
      <c r="K31" s="94"/>
      <c r="M31" s="97"/>
    </row>
    <row r="32" spans="2:14" ht="15.45" customHeight="1" x14ac:dyDescent="0.25">
      <c r="B32" s="100" t="s">
        <v>162</v>
      </c>
      <c r="C32" s="232">
        <f>10.1%*$G$23</f>
        <v>3.0299999999999997E-2</v>
      </c>
      <c r="D32" s="232">
        <f>10.1%*$G$23</f>
        <v>3.0299999999999997E-2</v>
      </c>
      <c r="E32" s="131">
        <f t="shared" si="0"/>
        <v>1</v>
      </c>
      <c r="F32" s="594"/>
      <c r="G32" s="594"/>
      <c r="H32" s="233">
        <f t="shared" si="1"/>
        <v>0.45419999999999994</v>
      </c>
      <c r="I32" s="840"/>
      <c r="J32" s="132"/>
      <c r="K32" s="94"/>
      <c r="M32" s="97"/>
    </row>
    <row r="33" spans="2:11" ht="19.5" customHeight="1" x14ac:dyDescent="0.25">
      <c r="B33" s="100" t="s">
        <v>163</v>
      </c>
      <c r="C33" s="232">
        <f>7.08%*$G$23</f>
        <v>2.1239999999999998E-2</v>
      </c>
      <c r="D33" s="232">
        <f>7.08%*$G$23</f>
        <v>2.1239999999999998E-2</v>
      </c>
      <c r="E33" s="131">
        <f t="shared" si="0"/>
        <v>1</v>
      </c>
      <c r="F33" s="594"/>
      <c r="G33" s="594"/>
      <c r="H33" s="233">
        <f t="shared" si="1"/>
        <v>0.52499999999999991</v>
      </c>
      <c r="I33" s="840"/>
      <c r="J33" s="102"/>
      <c r="K33" s="102"/>
    </row>
    <row r="34" spans="2:11" ht="19.5" customHeight="1" x14ac:dyDescent="0.25">
      <c r="B34" s="100" t="s">
        <v>164</v>
      </c>
      <c r="C34" s="232">
        <f>7.08%*$G$23</f>
        <v>2.1239999999999998E-2</v>
      </c>
      <c r="D34" s="232">
        <f>+C34*(0.902936851018316)</f>
        <v>1.9178378715629031E-2</v>
      </c>
      <c r="E34" s="131">
        <f t="shared" si="0"/>
        <v>0.902936851018316</v>
      </c>
      <c r="F34" s="594"/>
      <c r="G34" s="594"/>
      <c r="H34" s="233">
        <f t="shared" si="1"/>
        <v>0.58892792905209668</v>
      </c>
      <c r="I34" s="840"/>
      <c r="J34" s="102"/>
      <c r="K34" s="102"/>
    </row>
    <row r="35" spans="2:11" ht="19.5" customHeight="1" x14ac:dyDescent="0.25">
      <c r="B35" s="100" t="s">
        <v>165</v>
      </c>
      <c r="C35" s="232">
        <f>11.83%*$G$23</f>
        <v>3.5490000000000001E-2</v>
      </c>
      <c r="D35" s="232">
        <f>+C34*(0.7852)</f>
        <v>1.6677648E-2</v>
      </c>
      <c r="E35" s="131">
        <f t="shared" si="0"/>
        <v>0.46992527472527473</v>
      </c>
      <c r="F35" s="594"/>
      <c r="G35" s="594"/>
      <c r="H35" s="233">
        <f t="shared" si="1"/>
        <v>0.64452008905209668</v>
      </c>
      <c r="I35" s="840"/>
      <c r="J35" s="102"/>
      <c r="K35" s="102"/>
    </row>
    <row r="36" spans="2:11" ht="19.5" customHeight="1" x14ac:dyDescent="0.25">
      <c r="B36" s="100" t="s">
        <v>166</v>
      </c>
      <c r="C36" s="232">
        <f>8.33%*$G$23</f>
        <v>2.4989999999999998E-2</v>
      </c>
      <c r="D36" s="232"/>
      <c r="E36" s="131">
        <f t="shared" si="0"/>
        <v>0</v>
      </c>
      <c r="F36" s="594"/>
      <c r="G36" s="594"/>
      <c r="H36" s="233" t="str">
        <f t="shared" si="1"/>
        <v/>
      </c>
      <c r="I36" s="840"/>
      <c r="J36" s="102"/>
      <c r="K36" s="102"/>
    </row>
    <row r="37" spans="2:11" ht="19.5" customHeight="1" x14ac:dyDescent="0.25">
      <c r="B37" s="100" t="s">
        <v>167</v>
      </c>
      <c r="C37" s="232">
        <f>7.03%*$G$23</f>
        <v>2.1090000000000001E-2</v>
      </c>
      <c r="D37" s="232"/>
      <c r="E37" s="131">
        <f t="shared" si="0"/>
        <v>0</v>
      </c>
      <c r="F37" s="594"/>
      <c r="G37" s="594"/>
      <c r="H37" s="233" t="str">
        <f t="shared" si="1"/>
        <v/>
      </c>
      <c r="I37" s="840"/>
      <c r="J37" s="102"/>
      <c r="K37" s="102"/>
    </row>
    <row r="38" spans="2:11" ht="19.5" customHeight="1" x14ac:dyDescent="0.25">
      <c r="B38" s="100" t="s">
        <v>168</v>
      </c>
      <c r="C38" s="232">
        <f>11.37%*$G$23</f>
        <v>3.4109999999999994E-2</v>
      </c>
      <c r="D38" s="232"/>
      <c r="E38" s="131">
        <f t="shared" si="0"/>
        <v>0</v>
      </c>
      <c r="F38" s="595"/>
      <c r="G38" s="595"/>
      <c r="H38" s="233" t="str">
        <f t="shared" si="1"/>
        <v/>
      </c>
      <c r="I38" s="841"/>
      <c r="J38" s="102"/>
      <c r="K38" s="102"/>
    </row>
    <row r="39" spans="2:11" ht="52.5" customHeight="1" x14ac:dyDescent="0.25">
      <c r="B39" s="119" t="s">
        <v>280</v>
      </c>
      <c r="C39" s="842"/>
      <c r="D39" s="843"/>
      <c r="E39" s="843"/>
      <c r="F39" s="843"/>
      <c r="G39" s="843"/>
      <c r="H39" s="843"/>
      <c r="I39" s="844"/>
      <c r="J39" s="103"/>
      <c r="K39" s="103"/>
    </row>
    <row r="40" spans="2:11" ht="34.5" customHeight="1" x14ac:dyDescent="0.25">
      <c r="B40" s="527"/>
      <c r="C40" s="528"/>
      <c r="D40" s="528"/>
      <c r="E40" s="528"/>
      <c r="F40" s="528"/>
      <c r="G40" s="528"/>
      <c r="H40" s="528"/>
      <c r="I40" s="529"/>
      <c r="J40" s="85"/>
      <c r="K40" s="85"/>
    </row>
    <row r="41" spans="2:11" ht="34.5" customHeight="1" x14ac:dyDescent="0.25">
      <c r="B41" s="530"/>
      <c r="C41" s="531"/>
      <c r="D41" s="531"/>
      <c r="E41" s="531"/>
      <c r="F41" s="531"/>
      <c r="G41" s="531"/>
      <c r="H41" s="531"/>
      <c r="I41" s="532"/>
      <c r="J41" s="103"/>
      <c r="K41" s="103"/>
    </row>
    <row r="42" spans="2:11" ht="34.5" customHeight="1" x14ac:dyDescent="0.25">
      <c r="B42" s="530"/>
      <c r="C42" s="531"/>
      <c r="D42" s="531"/>
      <c r="E42" s="531"/>
      <c r="F42" s="531"/>
      <c r="G42" s="531"/>
      <c r="H42" s="531"/>
      <c r="I42" s="532"/>
      <c r="J42" s="103"/>
      <c r="K42" s="103"/>
    </row>
    <row r="43" spans="2:11" ht="34.5" customHeight="1" x14ac:dyDescent="0.25">
      <c r="B43" s="530"/>
      <c r="C43" s="531"/>
      <c r="D43" s="531"/>
      <c r="E43" s="531"/>
      <c r="F43" s="531"/>
      <c r="G43" s="531"/>
      <c r="H43" s="531"/>
      <c r="I43" s="532"/>
      <c r="J43" s="103"/>
      <c r="K43" s="103"/>
    </row>
    <row r="44" spans="2:11" ht="34.5" customHeight="1" x14ac:dyDescent="0.25">
      <c r="B44" s="533"/>
      <c r="C44" s="534"/>
      <c r="D44" s="534"/>
      <c r="E44" s="534"/>
      <c r="F44" s="534"/>
      <c r="G44" s="534"/>
      <c r="H44" s="534"/>
      <c r="I44" s="535"/>
      <c r="J44" s="84"/>
      <c r="K44" s="84"/>
    </row>
    <row r="45" spans="2:11" ht="34.5" customHeight="1" x14ac:dyDescent="0.25">
      <c r="B45" s="162"/>
      <c r="C45" s="166" t="s">
        <v>364</v>
      </c>
      <c r="D45" s="150"/>
      <c r="E45" s="150"/>
      <c r="F45" s="150"/>
      <c r="G45" s="151"/>
      <c r="H45" s="151"/>
      <c r="I45" s="151"/>
      <c r="J45" s="84"/>
      <c r="K45" s="84"/>
    </row>
    <row r="46" spans="2:11" ht="61.8" customHeight="1" x14ac:dyDescent="0.25">
      <c r="B46" s="605" t="s">
        <v>281</v>
      </c>
      <c r="C46" s="848" t="s">
        <v>478</v>
      </c>
      <c r="D46" s="849"/>
      <c r="E46" s="849"/>
      <c r="F46" s="850"/>
      <c r="G46" s="149"/>
      <c r="H46" s="169" t="s">
        <v>415</v>
      </c>
      <c r="I46" s="169" t="s">
        <v>416</v>
      </c>
      <c r="J46" s="104"/>
      <c r="K46" s="104"/>
    </row>
    <row r="47" spans="2:11" ht="61.8" customHeight="1" x14ac:dyDescent="0.25">
      <c r="B47" s="606"/>
      <c r="C47" s="851"/>
      <c r="D47" s="852"/>
      <c r="E47" s="852"/>
      <c r="F47" s="853"/>
      <c r="G47" s="165" t="s">
        <v>417</v>
      </c>
      <c r="H47" s="168">
        <v>85</v>
      </c>
      <c r="I47" s="168">
        <f>863+158+159+173+164</f>
        <v>1517</v>
      </c>
      <c r="J47" s="104"/>
      <c r="K47" s="104"/>
    </row>
    <row r="48" spans="2:11" ht="61.8" customHeight="1" x14ac:dyDescent="0.25">
      <c r="B48" s="606"/>
      <c r="C48" s="851"/>
      <c r="D48" s="852"/>
      <c r="E48" s="852"/>
      <c r="F48" s="853"/>
      <c r="G48" s="165" t="s">
        <v>403</v>
      </c>
      <c r="H48" s="291">
        <v>1</v>
      </c>
      <c r="I48" s="168">
        <f>5+1+1+1</f>
        <v>8</v>
      </c>
      <c r="J48" s="104"/>
      <c r="K48" s="104"/>
    </row>
    <row r="49" spans="2:11" ht="61.8" customHeight="1" x14ac:dyDescent="0.25">
      <c r="B49" s="606"/>
      <c r="C49" s="854"/>
      <c r="D49" s="855"/>
      <c r="E49" s="855"/>
      <c r="F49" s="856"/>
      <c r="G49" s="165" t="s">
        <v>418</v>
      </c>
      <c r="H49" s="168">
        <v>79</v>
      </c>
      <c r="I49" s="168">
        <f>227+74+72+87+79</f>
        <v>539</v>
      </c>
      <c r="J49" s="104"/>
      <c r="K49" s="104"/>
    </row>
    <row r="50" spans="2:11" ht="82.2" customHeight="1" x14ac:dyDescent="0.25">
      <c r="B50" s="118" t="s">
        <v>282</v>
      </c>
      <c r="C50" s="845" t="s">
        <v>46</v>
      </c>
      <c r="D50" s="846"/>
      <c r="E50" s="846"/>
      <c r="F50" s="846"/>
      <c r="G50" s="846"/>
      <c r="H50" s="846"/>
      <c r="I50" s="847"/>
      <c r="J50" s="104"/>
      <c r="K50" s="104"/>
    </row>
    <row r="51" spans="2:11" ht="90" customHeight="1" x14ac:dyDescent="0.25">
      <c r="B51" s="120" t="s">
        <v>283</v>
      </c>
      <c r="C51" s="845" t="s">
        <v>449</v>
      </c>
      <c r="D51" s="846"/>
      <c r="E51" s="846"/>
      <c r="F51" s="846"/>
      <c r="G51" s="846"/>
      <c r="H51" s="846"/>
      <c r="I51" s="847"/>
      <c r="J51" s="104"/>
      <c r="K51" s="104"/>
    </row>
    <row r="52" spans="2:11" ht="22.5" customHeight="1" x14ac:dyDescent="0.25">
      <c r="B52" s="512" t="s">
        <v>284</v>
      </c>
      <c r="C52" s="513"/>
      <c r="D52" s="513"/>
      <c r="E52" s="513"/>
      <c r="F52" s="513"/>
      <c r="G52" s="513"/>
      <c r="H52" s="513"/>
      <c r="I52" s="514"/>
      <c r="J52" s="104"/>
      <c r="K52" s="104"/>
    </row>
    <row r="53" spans="2:11" ht="22.5" customHeight="1" x14ac:dyDescent="0.25">
      <c r="B53" s="508" t="s">
        <v>285</v>
      </c>
      <c r="C53" s="141" t="s">
        <v>286</v>
      </c>
      <c r="D53" s="510" t="s">
        <v>287</v>
      </c>
      <c r="E53" s="510"/>
      <c r="F53" s="510"/>
      <c r="G53" s="510" t="s">
        <v>288</v>
      </c>
      <c r="H53" s="510"/>
      <c r="I53" s="511"/>
      <c r="J53" s="105"/>
      <c r="K53" s="105"/>
    </row>
    <row r="54" spans="2:11" ht="30.75" customHeight="1" x14ac:dyDescent="0.25">
      <c r="B54" s="509"/>
      <c r="C54" s="248"/>
      <c r="D54" s="738"/>
      <c r="E54" s="738"/>
      <c r="F54" s="738"/>
      <c r="G54" s="738"/>
      <c r="H54" s="738"/>
      <c r="I54" s="739"/>
      <c r="J54" s="105"/>
      <c r="K54" s="105"/>
    </row>
    <row r="55" spans="2:11" ht="32.25" customHeight="1" x14ac:dyDescent="0.25">
      <c r="B55" s="121" t="s">
        <v>289</v>
      </c>
      <c r="C55" s="738" t="s">
        <v>419</v>
      </c>
      <c r="D55" s="738"/>
      <c r="E55" s="738"/>
      <c r="F55" s="738"/>
      <c r="G55" s="738"/>
      <c r="H55" s="738"/>
      <c r="I55" s="739"/>
      <c r="J55" s="106"/>
      <c r="K55" s="106"/>
    </row>
    <row r="56" spans="2:11" ht="28.5" customHeight="1" x14ac:dyDescent="0.25">
      <c r="B56" s="122" t="s">
        <v>291</v>
      </c>
      <c r="C56" s="738" t="s">
        <v>419</v>
      </c>
      <c r="D56" s="738"/>
      <c r="E56" s="738"/>
      <c r="F56" s="738"/>
      <c r="G56" s="738"/>
      <c r="H56" s="738"/>
      <c r="I56" s="739"/>
      <c r="J56" s="106"/>
      <c r="K56" s="106"/>
    </row>
    <row r="57" spans="2:11" ht="30" customHeight="1" x14ac:dyDescent="0.25">
      <c r="B57" s="120" t="s">
        <v>292</v>
      </c>
      <c r="C57" s="833" t="s">
        <v>293</v>
      </c>
      <c r="D57" s="834"/>
      <c r="E57" s="834"/>
      <c r="F57" s="834"/>
      <c r="G57" s="834"/>
      <c r="H57" s="834"/>
      <c r="I57" s="835"/>
      <c r="J57" s="107"/>
      <c r="K57" s="107"/>
    </row>
    <row r="58" spans="2:11" ht="31.5" customHeight="1" thickBot="1" x14ac:dyDescent="0.3">
      <c r="B58" s="116" t="s">
        <v>294</v>
      </c>
      <c r="C58" s="836" t="s">
        <v>420</v>
      </c>
      <c r="D58" s="837"/>
      <c r="E58" s="837"/>
      <c r="F58" s="837"/>
      <c r="G58" s="837"/>
      <c r="H58" s="837"/>
      <c r="I58" s="838"/>
      <c r="J58" s="108"/>
      <c r="K58" s="108"/>
    </row>
    <row r="59" spans="2:11" ht="13.2" customHeight="1" x14ac:dyDescent="0.25">
      <c r="B59" s="109"/>
      <c r="C59" s="110"/>
      <c r="D59" s="110"/>
      <c r="E59" s="111"/>
      <c r="F59" s="111"/>
      <c r="G59" s="117"/>
      <c r="H59" s="113"/>
      <c r="I59" s="110"/>
      <c r="J59" s="108"/>
      <c r="K59" s="108"/>
    </row>
    <row r="60" spans="2:11" ht="13.2" customHeight="1" x14ac:dyDescent="0.25">
      <c r="B60" s="109"/>
      <c r="C60" s="110"/>
      <c r="D60" s="110"/>
      <c r="E60" s="111"/>
      <c r="F60" s="111"/>
      <c r="G60" s="117"/>
      <c r="H60" s="113"/>
      <c r="I60" s="110"/>
      <c r="J60" s="108"/>
      <c r="K60" s="108"/>
    </row>
    <row r="61" spans="2:11" ht="13.2" customHeight="1" x14ac:dyDescent="0.25">
      <c r="B61" s="109"/>
      <c r="C61" s="110"/>
      <c r="D61" s="110"/>
      <c r="E61" s="111"/>
      <c r="F61" s="111"/>
      <c r="G61" s="117"/>
      <c r="H61" s="113"/>
      <c r="I61" s="110"/>
      <c r="J61" s="108"/>
      <c r="K61" s="108"/>
    </row>
    <row r="62" spans="2:11" ht="13.2" customHeight="1" x14ac:dyDescent="0.25">
      <c r="B62" s="109"/>
      <c r="C62" s="110"/>
      <c r="D62" s="110"/>
      <c r="E62" s="111"/>
      <c r="F62" s="111"/>
      <c r="G62" s="117"/>
      <c r="H62" s="113"/>
      <c r="I62" s="110"/>
      <c r="J62" s="108"/>
      <c r="K62" s="108"/>
    </row>
    <row r="63" spans="2:11" ht="13.2" customHeight="1" x14ac:dyDescent="0.25">
      <c r="B63" s="109"/>
      <c r="C63" s="110"/>
      <c r="D63" s="110"/>
      <c r="E63" s="111"/>
      <c r="F63" s="111"/>
      <c r="G63" s="117"/>
      <c r="H63" s="113"/>
      <c r="I63" s="110"/>
      <c r="J63" s="108"/>
      <c r="K63" s="108"/>
    </row>
    <row r="64" spans="2:11" ht="25.5" customHeight="1" x14ac:dyDescent="0.25">
      <c r="B64" s="109"/>
      <c r="C64" s="110"/>
      <c r="D64" s="110"/>
      <c r="E64" s="111"/>
      <c r="F64" s="111"/>
      <c r="G64" s="117"/>
      <c r="H64" s="113"/>
      <c r="I64" s="110"/>
      <c r="J64" s="108"/>
      <c r="K64" s="108"/>
    </row>
    <row r="65" ht="13.95" customHeight="1" x14ac:dyDescent="0.25"/>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2:I52"/>
    <mergeCell ref="C24:E24"/>
    <mergeCell ref="G24:I24"/>
    <mergeCell ref="B25:I25"/>
    <mergeCell ref="F27:F38"/>
    <mergeCell ref="G27:G38"/>
    <mergeCell ref="I27:I38"/>
    <mergeCell ref="C39:I39"/>
    <mergeCell ref="B40:I44"/>
    <mergeCell ref="C51:I51"/>
    <mergeCell ref="C50:I50"/>
    <mergeCell ref="B46:B49"/>
    <mergeCell ref="C46:F49"/>
    <mergeCell ref="C56:I56"/>
    <mergeCell ref="C57:I57"/>
    <mergeCell ref="C58:I58"/>
    <mergeCell ref="B53:B54"/>
    <mergeCell ref="D53:F53"/>
    <mergeCell ref="G53:I53"/>
    <mergeCell ref="D54:F54"/>
    <mergeCell ref="G54:I54"/>
    <mergeCell ref="C55:I55"/>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640625" defaultRowHeight="13.2" x14ac:dyDescent="0.25"/>
  <cols>
    <col min="1" max="1" width="1" style="7" customWidth="1"/>
    <col min="2" max="2" width="25.44140625" style="8" customWidth="1"/>
    <col min="3" max="3" width="14.44140625" style="7" customWidth="1"/>
    <col min="4" max="4" width="20.109375" style="7" customWidth="1"/>
    <col min="5" max="5" width="16.44140625" style="7" customWidth="1"/>
    <col min="6" max="6" width="25" style="7" customWidth="1"/>
    <col min="7" max="7" width="22" style="9" customWidth="1"/>
    <col min="8" max="8" width="20.44140625" style="7" customWidth="1"/>
    <col min="9" max="11" width="22.44140625" style="7" customWidth="1"/>
    <col min="12" max="24" width="10.6640625" style="3"/>
    <col min="25" max="16384" width="10.6640625" style="7"/>
  </cols>
  <sheetData>
    <row r="1" spans="2:14" ht="6" customHeight="1" thickBot="1" x14ac:dyDescent="0.3"/>
    <row r="2" spans="2:14" ht="25.5" customHeight="1" x14ac:dyDescent="0.25">
      <c r="B2" s="463"/>
      <c r="C2" s="461" t="s">
        <v>0</v>
      </c>
      <c r="D2" s="461"/>
      <c r="E2" s="461"/>
      <c r="F2" s="461"/>
      <c r="G2" s="461"/>
      <c r="H2" s="461"/>
      <c r="I2" s="465"/>
      <c r="J2" s="10"/>
      <c r="K2" s="10"/>
      <c r="M2" s="11" t="s">
        <v>67</v>
      </c>
    </row>
    <row r="3" spans="2:14" ht="25.5" customHeight="1" x14ac:dyDescent="0.25">
      <c r="B3" s="464"/>
      <c r="C3" s="462" t="s">
        <v>1</v>
      </c>
      <c r="D3" s="462"/>
      <c r="E3" s="462"/>
      <c r="F3" s="462"/>
      <c r="G3" s="462"/>
      <c r="H3" s="462"/>
      <c r="I3" s="466"/>
      <c r="J3" s="10"/>
      <c r="K3" s="10"/>
      <c r="M3" s="11" t="s">
        <v>68</v>
      </c>
    </row>
    <row r="4" spans="2:14" ht="25.5" customHeight="1" x14ac:dyDescent="0.25">
      <c r="B4" s="464"/>
      <c r="C4" s="462" t="s">
        <v>69</v>
      </c>
      <c r="D4" s="462"/>
      <c r="E4" s="462"/>
      <c r="F4" s="462"/>
      <c r="G4" s="462"/>
      <c r="H4" s="462"/>
      <c r="I4" s="466"/>
      <c r="J4" s="10"/>
      <c r="K4" s="10"/>
      <c r="M4" s="11" t="s">
        <v>70</v>
      </c>
    </row>
    <row r="5" spans="2:14" ht="25.5" customHeight="1" x14ac:dyDescent="0.25">
      <c r="B5" s="464"/>
      <c r="C5" s="462" t="s">
        <v>71</v>
      </c>
      <c r="D5" s="462"/>
      <c r="E5" s="462"/>
      <c r="F5" s="462"/>
      <c r="G5" s="467" t="s">
        <v>72</v>
      </c>
      <c r="H5" s="467"/>
      <c r="I5" s="466"/>
      <c r="J5" s="10"/>
      <c r="K5" s="10"/>
      <c r="M5" s="11" t="s">
        <v>73</v>
      </c>
    </row>
    <row r="6" spans="2:14" ht="23.25" customHeight="1" x14ac:dyDescent="0.25">
      <c r="B6" s="446" t="s">
        <v>74</v>
      </c>
      <c r="C6" s="447"/>
      <c r="D6" s="447"/>
      <c r="E6" s="447"/>
      <c r="F6" s="447"/>
      <c r="G6" s="447"/>
      <c r="H6" s="447"/>
      <c r="I6" s="448"/>
      <c r="J6" s="12"/>
      <c r="K6" s="12"/>
    </row>
    <row r="7" spans="2:14" ht="24" customHeight="1" x14ac:dyDescent="0.25">
      <c r="B7" s="449" t="s">
        <v>75</v>
      </c>
      <c r="C7" s="450"/>
      <c r="D7" s="450"/>
      <c r="E7" s="450"/>
      <c r="F7" s="450"/>
      <c r="G7" s="450"/>
      <c r="H7" s="450"/>
      <c r="I7" s="451"/>
      <c r="J7" s="13"/>
      <c r="K7" s="13"/>
    </row>
    <row r="8" spans="2:14" ht="24" customHeight="1" x14ac:dyDescent="0.25">
      <c r="B8" s="452" t="s">
        <v>76</v>
      </c>
      <c r="C8" s="453"/>
      <c r="D8" s="453"/>
      <c r="E8" s="453"/>
      <c r="F8" s="453"/>
      <c r="G8" s="453"/>
      <c r="H8" s="453"/>
      <c r="I8" s="454"/>
      <c r="J8" s="40"/>
      <c r="K8" s="40"/>
      <c r="N8" s="6" t="s">
        <v>77</v>
      </c>
    </row>
    <row r="9" spans="2:14" ht="30.75" customHeight="1" x14ac:dyDescent="0.25">
      <c r="B9" s="62" t="s">
        <v>78</v>
      </c>
      <c r="C9" s="41">
        <v>14</v>
      </c>
      <c r="D9" s="458" t="s">
        <v>79</v>
      </c>
      <c r="E9" s="458"/>
      <c r="F9" s="409" t="s">
        <v>421</v>
      </c>
      <c r="G9" s="410"/>
      <c r="H9" s="410"/>
      <c r="I9" s="411"/>
      <c r="J9" s="14"/>
      <c r="K9" s="14"/>
      <c r="M9" s="11" t="s">
        <v>81</v>
      </c>
      <c r="N9" s="6" t="s">
        <v>82</v>
      </c>
    </row>
    <row r="10" spans="2:14" ht="30.75" customHeight="1" x14ac:dyDescent="0.25">
      <c r="B10" s="183" t="s">
        <v>83</v>
      </c>
      <c r="C10" s="184" t="s">
        <v>84</v>
      </c>
      <c r="D10" s="459" t="s">
        <v>85</v>
      </c>
      <c r="E10" s="460"/>
      <c r="F10" s="443" t="s">
        <v>86</v>
      </c>
      <c r="G10" s="444"/>
      <c r="H10" s="185" t="s">
        <v>87</v>
      </c>
      <c r="I10" s="249" t="s">
        <v>84</v>
      </c>
      <c r="J10" s="15"/>
      <c r="K10" s="15"/>
      <c r="M10" s="11" t="s">
        <v>88</v>
      </c>
      <c r="N10" s="6" t="s">
        <v>89</v>
      </c>
    </row>
    <row r="11" spans="2:14" ht="30.75" customHeight="1" x14ac:dyDescent="0.25">
      <c r="B11" s="183" t="s">
        <v>90</v>
      </c>
      <c r="C11" s="455" t="s">
        <v>91</v>
      </c>
      <c r="D11" s="455"/>
      <c r="E11" s="455"/>
      <c r="F11" s="455"/>
      <c r="G11" s="185" t="s">
        <v>92</v>
      </c>
      <c r="H11" s="456">
        <v>1032</v>
      </c>
      <c r="I11" s="457"/>
      <c r="J11" s="16"/>
      <c r="K11" s="16"/>
      <c r="M11" s="11" t="s">
        <v>93</v>
      </c>
      <c r="N11" s="6" t="s">
        <v>44</v>
      </c>
    </row>
    <row r="12" spans="2:14" ht="30.75" customHeight="1" x14ac:dyDescent="0.25">
      <c r="B12" s="183" t="s">
        <v>94</v>
      </c>
      <c r="C12" s="440" t="s">
        <v>88</v>
      </c>
      <c r="D12" s="440"/>
      <c r="E12" s="440"/>
      <c r="F12" s="440"/>
      <c r="G12" s="185" t="s">
        <v>95</v>
      </c>
      <c r="H12" s="857" t="s">
        <v>422</v>
      </c>
      <c r="I12" s="858"/>
      <c r="J12" s="17"/>
      <c r="K12" s="17"/>
      <c r="M12" s="18" t="s">
        <v>97</v>
      </c>
    </row>
    <row r="13" spans="2:14" ht="30.75" customHeight="1" x14ac:dyDescent="0.25">
      <c r="B13" s="183" t="s">
        <v>98</v>
      </c>
      <c r="C13" s="436" t="s">
        <v>99</v>
      </c>
      <c r="D13" s="436"/>
      <c r="E13" s="436"/>
      <c r="F13" s="436"/>
      <c r="G13" s="436"/>
      <c r="H13" s="436"/>
      <c r="I13" s="437"/>
      <c r="J13" s="19"/>
      <c r="K13" s="19"/>
      <c r="M13" s="18"/>
    </row>
    <row r="14" spans="2:14" ht="30.75" customHeight="1" x14ac:dyDescent="0.25">
      <c r="B14" s="183" t="s">
        <v>100</v>
      </c>
      <c r="C14" s="443" t="s">
        <v>423</v>
      </c>
      <c r="D14" s="444"/>
      <c r="E14" s="444"/>
      <c r="F14" s="444"/>
      <c r="G14" s="444"/>
      <c r="H14" s="444"/>
      <c r="I14" s="445"/>
      <c r="J14" s="15"/>
      <c r="K14" s="15"/>
      <c r="M14" s="18"/>
      <c r="N14" s="6" t="s">
        <v>102</v>
      </c>
    </row>
    <row r="15" spans="2:14" ht="30.75" customHeight="1" x14ac:dyDescent="0.25">
      <c r="B15" s="183" t="s">
        <v>103</v>
      </c>
      <c r="C15" s="409" t="s">
        <v>424</v>
      </c>
      <c r="D15" s="410"/>
      <c r="E15" s="410"/>
      <c r="F15" s="859"/>
      <c r="G15" s="185" t="s">
        <v>105</v>
      </c>
      <c r="H15" s="432" t="s">
        <v>106</v>
      </c>
      <c r="I15" s="433"/>
      <c r="J15" s="15"/>
      <c r="K15" s="15"/>
      <c r="M15" s="18" t="s">
        <v>107</v>
      </c>
      <c r="N15" s="6" t="s">
        <v>84</v>
      </c>
    </row>
    <row r="16" spans="2:14" ht="30.75" customHeight="1" x14ac:dyDescent="0.25">
      <c r="B16" s="183" t="s">
        <v>108</v>
      </c>
      <c r="C16" s="434" t="s">
        <v>109</v>
      </c>
      <c r="D16" s="435"/>
      <c r="E16" s="435"/>
      <c r="F16" s="435"/>
      <c r="G16" s="185" t="s">
        <v>110</v>
      </c>
      <c r="H16" s="432" t="s">
        <v>44</v>
      </c>
      <c r="I16" s="433"/>
      <c r="J16" s="15"/>
      <c r="K16" s="15"/>
      <c r="M16" s="18" t="s">
        <v>111</v>
      </c>
    </row>
    <row r="17" spans="2:14" ht="36" customHeight="1" x14ac:dyDescent="0.25">
      <c r="B17" s="183" t="s">
        <v>112</v>
      </c>
      <c r="C17" s="860" t="s">
        <v>425</v>
      </c>
      <c r="D17" s="861"/>
      <c r="E17" s="861"/>
      <c r="F17" s="861"/>
      <c r="G17" s="861"/>
      <c r="H17" s="861"/>
      <c r="I17" s="862"/>
      <c r="J17" s="19"/>
      <c r="K17" s="19"/>
      <c r="M17" s="18" t="s">
        <v>114</v>
      </c>
      <c r="N17" s="6" t="s">
        <v>115</v>
      </c>
    </row>
    <row r="18" spans="2:14" ht="30.75" customHeight="1" x14ac:dyDescent="0.25">
      <c r="B18" s="183" t="s">
        <v>116</v>
      </c>
      <c r="C18" s="409" t="s">
        <v>426</v>
      </c>
      <c r="D18" s="410"/>
      <c r="E18" s="410"/>
      <c r="F18" s="410"/>
      <c r="G18" s="410"/>
      <c r="H18" s="410"/>
      <c r="I18" s="411"/>
      <c r="J18" s="20"/>
      <c r="K18" s="20"/>
      <c r="M18" s="18" t="s">
        <v>118</v>
      </c>
      <c r="N18" s="6" t="s">
        <v>119</v>
      </c>
    </row>
    <row r="19" spans="2:14" ht="30.75" customHeight="1" x14ac:dyDescent="0.25">
      <c r="B19" s="183" t="s">
        <v>120</v>
      </c>
      <c r="C19" s="863" t="s">
        <v>427</v>
      </c>
      <c r="D19" s="864"/>
      <c r="E19" s="864"/>
      <c r="F19" s="864"/>
      <c r="G19" s="864"/>
      <c r="H19" s="864"/>
      <c r="I19" s="865"/>
      <c r="J19" s="21"/>
      <c r="K19" s="21"/>
      <c r="M19" s="18"/>
      <c r="N19" s="6" t="s">
        <v>122</v>
      </c>
    </row>
    <row r="20" spans="2:14" ht="30.75" customHeight="1" x14ac:dyDescent="0.25">
      <c r="B20" s="183" t="s">
        <v>123</v>
      </c>
      <c r="C20" s="866" t="s">
        <v>43</v>
      </c>
      <c r="D20" s="867"/>
      <c r="E20" s="867"/>
      <c r="F20" s="867"/>
      <c r="G20" s="867"/>
      <c r="H20" s="867"/>
      <c r="I20" s="868"/>
      <c r="J20" s="22"/>
      <c r="K20" s="22"/>
      <c r="M20" s="18" t="s">
        <v>106</v>
      </c>
      <c r="N20" s="6" t="s">
        <v>124</v>
      </c>
    </row>
    <row r="21" spans="2:14" ht="27.75" customHeight="1" x14ac:dyDescent="0.25">
      <c r="B21" s="425" t="s">
        <v>125</v>
      </c>
      <c r="C21" s="427" t="s">
        <v>126</v>
      </c>
      <c r="D21" s="427"/>
      <c r="E21" s="427"/>
      <c r="F21" s="428" t="s">
        <v>127</v>
      </c>
      <c r="G21" s="428"/>
      <c r="H21" s="428"/>
      <c r="I21" s="429"/>
      <c r="J21" s="23"/>
      <c r="K21" s="23"/>
      <c r="M21" s="18" t="s">
        <v>128</v>
      </c>
      <c r="N21" s="6" t="s">
        <v>129</v>
      </c>
    </row>
    <row r="22" spans="2:14" ht="27" customHeight="1" x14ac:dyDescent="0.25">
      <c r="B22" s="426"/>
      <c r="C22" s="863" t="s">
        <v>428</v>
      </c>
      <c r="D22" s="864"/>
      <c r="E22" s="869"/>
      <c r="F22" s="863" t="s">
        <v>429</v>
      </c>
      <c r="G22" s="864"/>
      <c r="H22" s="864"/>
      <c r="I22" s="865"/>
      <c r="J22" s="21"/>
      <c r="K22" s="21"/>
      <c r="M22" s="18" t="s">
        <v>132</v>
      </c>
      <c r="N22" s="6" t="s">
        <v>133</v>
      </c>
    </row>
    <row r="23" spans="2:14" ht="39.75" customHeight="1" x14ac:dyDescent="0.25">
      <c r="B23" s="183" t="s">
        <v>134</v>
      </c>
      <c r="C23" s="443" t="s">
        <v>43</v>
      </c>
      <c r="D23" s="444"/>
      <c r="E23" s="870"/>
      <c r="F23" s="443" t="s">
        <v>43</v>
      </c>
      <c r="G23" s="444"/>
      <c r="H23" s="444"/>
      <c r="I23" s="445"/>
      <c r="J23" s="15"/>
      <c r="K23" s="15"/>
      <c r="M23" s="18"/>
      <c r="N23" s="6" t="s">
        <v>99</v>
      </c>
    </row>
    <row r="24" spans="2:14" ht="44.25" customHeight="1" x14ac:dyDescent="0.25">
      <c r="B24" s="183" t="s">
        <v>135</v>
      </c>
      <c r="C24" s="871" t="s">
        <v>430</v>
      </c>
      <c r="D24" s="872"/>
      <c r="E24" s="873"/>
      <c r="F24" s="863" t="s">
        <v>431</v>
      </c>
      <c r="G24" s="864"/>
      <c r="H24" s="864"/>
      <c r="I24" s="865"/>
      <c r="J24" s="20"/>
      <c r="K24" s="20"/>
      <c r="M24" s="24"/>
      <c r="N24" s="6" t="s">
        <v>138</v>
      </c>
    </row>
    <row r="25" spans="2:14" ht="29.25" customHeight="1" x14ac:dyDescent="0.25">
      <c r="B25" s="183" t="s">
        <v>139</v>
      </c>
      <c r="C25" s="412" t="s">
        <v>109</v>
      </c>
      <c r="D25" s="413"/>
      <c r="E25" s="414"/>
      <c r="F25" s="185" t="s">
        <v>140</v>
      </c>
      <c r="G25" s="874">
        <v>74</v>
      </c>
      <c r="H25" s="875"/>
      <c r="I25" s="876"/>
      <c r="J25" s="25"/>
      <c r="K25" s="25"/>
      <c r="M25" s="24"/>
    </row>
    <row r="26" spans="2:14" ht="27" customHeight="1" x14ac:dyDescent="0.25">
      <c r="B26" s="183" t="s">
        <v>141</v>
      </c>
      <c r="C26" s="409" t="s">
        <v>142</v>
      </c>
      <c r="D26" s="410"/>
      <c r="E26" s="859"/>
      <c r="F26" s="185" t="s">
        <v>143</v>
      </c>
      <c r="G26" s="874">
        <v>0</v>
      </c>
      <c r="H26" s="875"/>
      <c r="I26" s="876"/>
      <c r="J26" s="26"/>
      <c r="K26" s="26"/>
      <c r="M26" s="24"/>
    </row>
    <row r="27" spans="2:14" ht="47.25" customHeight="1" x14ac:dyDescent="0.25">
      <c r="B27" s="187" t="s">
        <v>144</v>
      </c>
      <c r="C27" s="443" t="s">
        <v>114</v>
      </c>
      <c r="D27" s="444"/>
      <c r="E27" s="870"/>
      <c r="F27" s="188" t="s">
        <v>145</v>
      </c>
      <c r="G27" s="419" t="s">
        <v>146</v>
      </c>
      <c r="H27" s="420"/>
      <c r="I27" s="421"/>
      <c r="J27" s="23"/>
      <c r="K27" s="23"/>
      <c r="M27" s="24"/>
    </row>
    <row r="28" spans="2:14" ht="30" customHeight="1" x14ac:dyDescent="0.25">
      <c r="B28" s="389" t="s">
        <v>147</v>
      </c>
      <c r="C28" s="390"/>
      <c r="D28" s="390"/>
      <c r="E28" s="390"/>
      <c r="F28" s="390"/>
      <c r="G28" s="390"/>
      <c r="H28" s="390"/>
      <c r="I28" s="391"/>
      <c r="J28" s="40"/>
      <c r="K28" s="40"/>
      <c r="M28" s="24"/>
    </row>
    <row r="29" spans="2:14" ht="56.25" customHeight="1" x14ac:dyDescent="0.25">
      <c r="B29" s="189" t="s">
        <v>148</v>
      </c>
      <c r="C29" s="190" t="s">
        <v>149</v>
      </c>
      <c r="D29" s="190" t="s">
        <v>150</v>
      </c>
      <c r="E29" s="190" t="s">
        <v>151</v>
      </c>
      <c r="F29" s="190" t="s">
        <v>152</v>
      </c>
      <c r="G29" s="191" t="s">
        <v>153</v>
      </c>
      <c r="H29" s="191" t="s">
        <v>154</v>
      </c>
      <c r="I29" s="192" t="s">
        <v>155</v>
      </c>
      <c r="J29" s="51" t="s">
        <v>156</v>
      </c>
      <c r="K29" s="21"/>
      <c r="M29" s="24"/>
    </row>
    <row r="30" spans="2:14" ht="19.5" customHeight="1" x14ac:dyDescent="0.25">
      <c r="B30" s="193" t="s">
        <v>157</v>
      </c>
      <c r="C30" s="250">
        <v>0</v>
      </c>
      <c r="D30" s="251">
        <f>+C30</f>
        <v>0</v>
      </c>
      <c r="E30" s="252">
        <v>0</v>
      </c>
      <c r="F30" s="253">
        <f>+E30</f>
        <v>0</v>
      </c>
      <c r="G30" s="254" t="e">
        <f>+C30/E30</f>
        <v>#DIV/0!</v>
      </c>
      <c r="H30" s="255" t="e">
        <f>+D30/F30</f>
        <v>#DIV/0!</v>
      </c>
      <c r="I30" s="256" t="e">
        <f>+D30/$G$26</f>
        <v>#DIV/0!</v>
      </c>
      <c r="J30" s="50">
        <v>0.99</v>
      </c>
      <c r="K30" s="27"/>
      <c r="M30" s="24"/>
    </row>
    <row r="31" spans="2:14" ht="19.5" customHeight="1" x14ac:dyDescent="0.25">
      <c r="B31" s="193" t="s">
        <v>158</v>
      </c>
      <c r="C31" s="250">
        <v>0</v>
      </c>
      <c r="D31" s="251">
        <f>+D30+C31</f>
        <v>0</v>
      </c>
      <c r="E31" s="252">
        <v>0</v>
      </c>
      <c r="F31" s="253">
        <f>+F30+E31</f>
        <v>0</v>
      </c>
      <c r="G31" s="254" t="e">
        <f t="shared" ref="G31:G41" si="0">+C31/E31</f>
        <v>#DIV/0!</v>
      </c>
      <c r="H31" s="255" t="e">
        <f t="shared" ref="H31:H41" si="1">+D31/F31</f>
        <v>#DIV/0!</v>
      </c>
      <c r="I31" s="256" t="e">
        <f t="shared" ref="I31:I40" si="2">+D31/$G$26</f>
        <v>#DIV/0!</v>
      </c>
      <c r="J31" s="50">
        <v>0.99</v>
      </c>
      <c r="K31" s="27"/>
      <c r="M31" s="24"/>
    </row>
    <row r="32" spans="2:14" ht="19.5" customHeight="1" x14ac:dyDescent="0.25">
      <c r="B32" s="193" t="s">
        <v>159</v>
      </c>
      <c r="C32" s="250">
        <v>0</v>
      </c>
      <c r="D32" s="251">
        <f t="shared" ref="D32:D41" si="3">+D31+C32</f>
        <v>0</v>
      </c>
      <c r="E32" s="252">
        <v>0</v>
      </c>
      <c r="F32" s="253">
        <f t="shared" ref="F32:F41" si="4">+F31+E32</f>
        <v>0</v>
      </c>
      <c r="G32" s="254" t="e">
        <f t="shared" si="0"/>
        <v>#DIV/0!</v>
      </c>
      <c r="H32" s="255" t="e">
        <f t="shared" si="1"/>
        <v>#DIV/0!</v>
      </c>
      <c r="I32" s="256" t="e">
        <f t="shared" si="2"/>
        <v>#DIV/0!</v>
      </c>
      <c r="J32" s="50">
        <v>0.99</v>
      </c>
      <c r="K32" s="27"/>
      <c r="M32" s="24"/>
    </row>
    <row r="33" spans="2:11" ht="19.5" customHeight="1" x14ac:dyDescent="0.25">
      <c r="B33" s="193" t="s">
        <v>160</v>
      </c>
      <c r="C33" s="250">
        <v>0</v>
      </c>
      <c r="D33" s="251">
        <f t="shared" si="3"/>
        <v>0</v>
      </c>
      <c r="E33" s="252">
        <v>0</v>
      </c>
      <c r="F33" s="253">
        <f t="shared" si="4"/>
        <v>0</v>
      </c>
      <c r="G33" s="254" t="e">
        <f t="shared" si="0"/>
        <v>#DIV/0!</v>
      </c>
      <c r="H33" s="255" t="e">
        <f t="shared" si="1"/>
        <v>#DIV/0!</v>
      </c>
      <c r="I33" s="256" t="e">
        <f t="shared" si="2"/>
        <v>#DIV/0!</v>
      </c>
      <c r="J33" s="50">
        <v>0.99</v>
      </c>
      <c r="K33" s="27"/>
    </row>
    <row r="34" spans="2:11" ht="19.5" customHeight="1" x14ac:dyDescent="0.25">
      <c r="B34" s="193" t="s">
        <v>161</v>
      </c>
      <c r="C34" s="250">
        <v>0</v>
      </c>
      <c r="D34" s="251">
        <f t="shared" si="3"/>
        <v>0</v>
      </c>
      <c r="E34" s="252">
        <v>0</v>
      </c>
      <c r="F34" s="253">
        <f t="shared" si="4"/>
        <v>0</v>
      </c>
      <c r="G34" s="254" t="e">
        <f t="shared" si="0"/>
        <v>#DIV/0!</v>
      </c>
      <c r="H34" s="255" t="e">
        <f t="shared" si="1"/>
        <v>#DIV/0!</v>
      </c>
      <c r="I34" s="256" t="e">
        <f t="shared" si="2"/>
        <v>#DIV/0!</v>
      </c>
      <c r="J34" s="50">
        <v>0.99</v>
      </c>
      <c r="K34" s="27"/>
    </row>
    <row r="35" spans="2:11" ht="19.5" customHeight="1" x14ac:dyDescent="0.25">
      <c r="B35" s="193" t="s">
        <v>162</v>
      </c>
      <c r="C35" s="250">
        <v>0</v>
      </c>
      <c r="D35" s="251">
        <f t="shared" si="3"/>
        <v>0</v>
      </c>
      <c r="E35" s="252">
        <v>0</v>
      </c>
      <c r="F35" s="253">
        <f t="shared" si="4"/>
        <v>0</v>
      </c>
      <c r="G35" s="254" t="e">
        <f t="shared" si="0"/>
        <v>#DIV/0!</v>
      </c>
      <c r="H35" s="255" t="e">
        <f t="shared" si="1"/>
        <v>#DIV/0!</v>
      </c>
      <c r="I35" s="256" t="e">
        <f t="shared" si="2"/>
        <v>#DIV/0!</v>
      </c>
      <c r="J35" s="50">
        <v>0.99</v>
      </c>
      <c r="K35" s="27"/>
    </row>
    <row r="36" spans="2:11" ht="19.5" customHeight="1" x14ac:dyDescent="0.25">
      <c r="B36" s="193" t="s">
        <v>163</v>
      </c>
      <c r="C36" s="250">
        <v>0</v>
      </c>
      <c r="D36" s="251">
        <f t="shared" si="3"/>
        <v>0</v>
      </c>
      <c r="E36" s="252">
        <v>0</v>
      </c>
      <c r="F36" s="253">
        <f t="shared" si="4"/>
        <v>0</v>
      </c>
      <c r="G36" s="254" t="e">
        <f t="shared" si="0"/>
        <v>#DIV/0!</v>
      </c>
      <c r="H36" s="255" t="e">
        <f t="shared" si="1"/>
        <v>#DIV/0!</v>
      </c>
      <c r="I36" s="256" t="e">
        <f t="shared" si="2"/>
        <v>#DIV/0!</v>
      </c>
      <c r="J36" s="50">
        <v>0.99</v>
      </c>
      <c r="K36" s="27"/>
    </row>
    <row r="37" spans="2:11" ht="19.5" customHeight="1" x14ac:dyDescent="0.25">
      <c r="B37" s="193" t="s">
        <v>164</v>
      </c>
      <c r="C37" s="250">
        <v>0</v>
      </c>
      <c r="D37" s="251">
        <f t="shared" si="3"/>
        <v>0</v>
      </c>
      <c r="E37" s="252">
        <v>0</v>
      </c>
      <c r="F37" s="253">
        <f t="shared" si="4"/>
        <v>0</v>
      </c>
      <c r="G37" s="254" t="e">
        <f t="shared" si="0"/>
        <v>#DIV/0!</v>
      </c>
      <c r="H37" s="255" t="e">
        <f t="shared" si="1"/>
        <v>#DIV/0!</v>
      </c>
      <c r="I37" s="256" t="e">
        <f t="shared" si="2"/>
        <v>#DIV/0!</v>
      </c>
      <c r="J37" s="50">
        <v>0.99</v>
      </c>
      <c r="K37" s="27"/>
    </row>
    <row r="38" spans="2:11" ht="19.5" customHeight="1" x14ac:dyDescent="0.25">
      <c r="B38" s="193" t="s">
        <v>165</v>
      </c>
      <c r="C38" s="250">
        <v>0</v>
      </c>
      <c r="D38" s="251">
        <f t="shared" si="3"/>
        <v>0</v>
      </c>
      <c r="E38" s="252">
        <v>0</v>
      </c>
      <c r="F38" s="253">
        <f t="shared" si="4"/>
        <v>0</v>
      </c>
      <c r="G38" s="254" t="e">
        <f t="shared" si="0"/>
        <v>#DIV/0!</v>
      </c>
      <c r="H38" s="255" t="e">
        <f t="shared" si="1"/>
        <v>#DIV/0!</v>
      </c>
      <c r="I38" s="256" t="e">
        <f t="shared" si="2"/>
        <v>#DIV/0!</v>
      </c>
      <c r="J38" s="50">
        <v>0.99</v>
      </c>
      <c r="K38" s="27"/>
    </row>
    <row r="39" spans="2:11" ht="19.5" customHeight="1" x14ac:dyDescent="0.25">
      <c r="B39" s="193" t="s">
        <v>166</v>
      </c>
      <c r="C39" s="250">
        <v>0</v>
      </c>
      <c r="D39" s="251">
        <f t="shared" si="3"/>
        <v>0</v>
      </c>
      <c r="E39" s="252">
        <v>0</v>
      </c>
      <c r="F39" s="253">
        <f t="shared" si="4"/>
        <v>0</v>
      </c>
      <c r="G39" s="254" t="e">
        <f t="shared" si="0"/>
        <v>#DIV/0!</v>
      </c>
      <c r="H39" s="255" t="e">
        <f t="shared" si="1"/>
        <v>#DIV/0!</v>
      </c>
      <c r="I39" s="256" t="e">
        <f t="shared" si="2"/>
        <v>#DIV/0!</v>
      </c>
      <c r="J39" s="50">
        <v>0.99</v>
      </c>
      <c r="K39" s="27"/>
    </row>
    <row r="40" spans="2:11" ht="19.5" customHeight="1" x14ac:dyDescent="0.25">
      <c r="B40" s="193" t="s">
        <v>167</v>
      </c>
      <c r="C40" s="250">
        <v>0</v>
      </c>
      <c r="D40" s="251">
        <f t="shared" si="3"/>
        <v>0</v>
      </c>
      <c r="E40" s="252">
        <v>0</v>
      </c>
      <c r="F40" s="253">
        <f t="shared" si="4"/>
        <v>0</v>
      </c>
      <c r="G40" s="254" t="e">
        <f t="shared" si="0"/>
        <v>#DIV/0!</v>
      </c>
      <c r="H40" s="255" t="e">
        <f t="shared" si="1"/>
        <v>#DIV/0!</v>
      </c>
      <c r="I40" s="256" t="e">
        <f t="shared" si="2"/>
        <v>#DIV/0!</v>
      </c>
      <c r="J40" s="50">
        <v>0.99</v>
      </c>
      <c r="K40" s="27"/>
    </row>
    <row r="41" spans="2:11" ht="19.5" customHeight="1" x14ac:dyDescent="0.25">
      <c r="B41" s="193" t="s">
        <v>168</v>
      </c>
      <c r="C41" s="250">
        <v>0</v>
      </c>
      <c r="D41" s="251">
        <f t="shared" si="3"/>
        <v>0</v>
      </c>
      <c r="E41" s="252">
        <v>0</v>
      </c>
      <c r="F41" s="253">
        <f t="shared" si="4"/>
        <v>0</v>
      </c>
      <c r="G41" s="254" t="e">
        <f t="shared" si="0"/>
        <v>#DIV/0!</v>
      </c>
      <c r="H41" s="255" t="e">
        <f t="shared" si="1"/>
        <v>#DIV/0!</v>
      </c>
      <c r="I41" s="256" t="e">
        <f>+D41/$G$26</f>
        <v>#DIV/0!</v>
      </c>
      <c r="J41" s="50">
        <v>0.99</v>
      </c>
      <c r="K41" s="27"/>
    </row>
    <row r="42" spans="2:11" ht="54.75" customHeight="1" x14ac:dyDescent="0.25">
      <c r="B42" s="201" t="s">
        <v>169</v>
      </c>
      <c r="C42" s="367"/>
      <c r="D42" s="367"/>
      <c r="E42" s="367"/>
      <c r="F42" s="367"/>
      <c r="G42" s="367"/>
      <c r="H42" s="367"/>
      <c r="I42" s="385"/>
      <c r="J42" s="28"/>
      <c r="K42" s="28"/>
    </row>
    <row r="43" spans="2:11" ht="29.25" customHeight="1" x14ac:dyDescent="0.25">
      <c r="B43" s="389" t="s">
        <v>170</v>
      </c>
      <c r="C43" s="390"/>
      <c r="D43" s="390"/>
      <c r="E43" s="390"/>
      <c r="F43" s="390"/>
      <c r="G43" s="390"/>
      <c r="H43" s="390"/>
      <c r="I43" s="391"/>
      <c r="J43" s="40"/>
      <c r="K43" s="40"/>
    </row>
    <row r="44" spans="2:11" ht="32.25" customHeight="1" x14ac:dyDescent="0.25">
      <c r="B44" s="397"/>
      <c r="C44" s="398"/>
      <c r="D44" s="398"/>
      <c r="E44" s="398"/>
      <c r="F44" s="398"/>
      <c r="G44" s="398"/>
      <c r="H44" s="398"/>
      <c r="I44" s="399"/>
      <c r="J44" s="40"/>
      <c r="K44" s="40"/>
    </row>
    <row r="45" spans="2:11" ht="32.25" customHeight="1" x14ac:dyDescent="0.25">
      <c r="B45" s="400"/>
      <c r="C45" s="401"/>
      <c r="D45" s="401"/>
      <c r="E45" s="401"/>
      <c r="F45" s="401"/>
      <c r="G45" s="401"/>
      <c r="H45" s="401"/>
      <c r="I45" s="402"/>
      <c r="J45" s="28"/>
      <c r="K45" s="28"/>
    </row>
    <row r="46" spans="2:11" ht="32.25" customHeight="1" x14ac:dyDescent="0.25">
      <c r="B46" s="400"/>
      <c r="C46" s="401"/>
      <c r="D46" s="401"/>
      <c r="E46" s="401"/>
      <c r="F46" s="401"/>
      <c r="G46" s="401"/>
      <c r="H46" s="401"/>
      <c r="I46" s="402"/>
      <c r="J46" s="28"/>
      <c r="K46" s="28"/>
    </row>
    <row r="47" spans="2:11" ht="32.25" customHeight="1" x14ac:dyDescent="0.25">
      <c r="B47" s="400"/>
      <c r="C47" s="401"/>
      <c r="D47" s="401"/>
      <c r="E47" s="401"/>
      <c r="F47" s="401"/>
      <c r="G47" s="401"/>
      <c r="H47" s="401"/>
      <c r="I47" s="402"/>
      <c r="J47" s="28"/>
      <c r="K47" s="28"/>
    </row>
    <row r="48" spans="2:11" ht="32.25" customHeight="1" x14ac:dyDescent="0.25">
      <c r="B48" s="403"/>
      <c r="C48" s="404"/>
      <c r="D48" s="404"/>
      <c r="E48" s="404"/>
      <c r="F48" s="404"/>
      <c r="G48" s="404"/>
      <c r="H48" s="404"/>
      <c r="I48" s="405"/>
      <c r="J48" s="12"/>
      <c r="K48" s="12"/>
    </row>
    <row r="49" spans="2:11" ht="79.5" customHeight="1" x14ac:dyDescent="0.25">
      <c r="B49" s="183" t="s">
        <v>171</v>
      </c>
      <c r="C49" s="877"/>
      <c r="D49" s="878"/>
      <c r="E49" s="878"/>
      <c r="F49" s="878"/>
      <c r="G49" s="878"/>
      <c r="H49" s="878"/>
      <c r="I49" s="879"/>
      <c r="J49" s="29"/>
      <c r="K49" s="29"/>
    </row>
    <row r="50" spans="2:11" ht="26.25" customHeight="1" x14ac:dyDescent="0.25">
      <c r="B50" s="183" t="s">
        <v>172</v>
      </c>
      <c r="C50" s="880"/>
      <c r="D50" s="881"/>
      <c r="E50" s="881"/>
      <c r="F50" s="881"/>
      <c r="G50" s="881"/>
      <c r="H50" s="881"/>
      <c r="I50" s="882"/>
      <c r="J50" s="29"/>
      <c r="K50" s="29"/>
    </row>
    <row r="51" spans="2:11" ht="64.5" customHeight="1" x14ac:dyDescent="0.25">
      <c r="B51" s="202" t="s">
        <v>173</v>
      </c>
      <c r="C51" s="877"/>
      <c r="D51" s="878"/>
      <c r="E51" s="878"/>
      <c r="F51" s="878"/>
      <c r="G51" s="878"/>
      <c r="H51" s="878"/>
      <c r="I51" s="879"/>
      <c r="J51" s="29"/>
      <c r="K51" s="29"/>
    </row>
    <row r="52" spans="2:11" ht="29.25" customHeight="1" x14ac:dyDescent="0.25">
      <c r="B52" s="389" t="s">
        <v>174</v>
      </c>
      <c r="C52" s="390"/>
      <c r="D52" s="390"/>
      <c r="E52" s="390"/>
      <c r="F52" s="390"/>
      <c r="G52" s="390"/>
      <c r="H52" s="390"/>
      <c r="I52" s="391"/>
      <c r="J52" s="29"/>
      <c r="K52" s="29"/>
    </row>
    <row r="53" spans="2:11" ht="33" customHeight="1" x14ac:dyDescent="0.25">
      <c r="B53" s="392" t="s">
        <v>175</v>
      </c>
      <c r="C53" s="203" t="s">
        <v>176</v>
      </c>
      <c r="D53" s="393" t="s">
        <v>177</v>
      </c>
      <c r="E53" s="393"/>
      <c r="F53" s="393"/>
      <c r="G53" s="393" t="s">
        <v>178</v>
      </c>
      <c r="H53" s="393"/>
      <c r="I53" s="394"/>
      <c r="J53" s="30"/>
      <c r="K53" s="30"/>
    </row>
    <row r="54" spans="2:11" ht="31.5" customHeight="1" x14ac:dyDescent="0.25">
      <c r="B54" s="392"/>
      <c r="C54" s="257"/>
      <c r="D54" s="367"/>
      <c r="E54" s="367"/>
      <c r="F54" s="367"/>
      <c r="G54" s="395"/>
      <c r="H54" s="395"/>
      <c r="I54" s="396"/>
      <c r="J54" s="30"/>
      <c r="K54" s="30"/>
    </row>
    <row r="55" spans="2:11" ht="31.5" customHeight="1" x14ac:dyDescent="0.25">
      <c r="B55" s="202" t="s">
        <v>179</v>
      </c>
      <c r="C55" s="883" t="s">
        <v>432</v>
      </c>
      <c r="D55" s="884"/>
      <c r="E55" s="380" t="s">
        <v>181</v>
      </c>
      <c r="F55" s="380"/>
      <c r="G55" s="379" t="s">
        <v>433</v>
      </c>
      <c r="H55" s="379"/>
      <c r="I55" s="381"/>
      <c r="J55" s="31"/>
      <c r="K55" s="31"/>
    </row>
    <row r="56" spans="2:11" ht="31.5" customHeight="1" x14ac:dyDescent="0.25">
      <c r="B56" s="202" t="s">
        <v>183</v>
      </c>
      <c r="C56" s="367" t="s">
        <v>184</v>
      </c>
      <c r="D56" s="367"/>
      <c r="E56" s="382" t="s">
        <v>185</v>
      </c>
      <c r="F56" s="382"/>
      <c r="G56" s="379" t="s">
        <v>186</v>
      </c>
      <c r="H56" s="379"/>
      <c r="I56" s="381"/>
      <c r="J56" s="31"/>
      <c r="K56" s="31"/>
    </row>
    <row r="57" spans="2:11" ht="31.5" customHeight="1" x14ac:dyDescent="0.25">
      <c r="B57" s="202" t="s">
        <v>187</v>
      </c>
      <c r="C57" s="367"/>
      <c r="D57" s="367"/>
      <c r="E57" s="368" t="s">
        <v>188</v>
      </c>
      <c r="F57" s="369"/>
      <c r="G57" s="372"/>
      <c r="H57" s="373"/>
      <c r="I57" s="374"/>
      <c r="J57" s="32"/>
      <c r="K57" s="32"/>
    </row>
    <row r="58" spans="2:11" ht="31.5" customHeight="1" thickBot="1" x14ac:dyDescent="0.3">
      <c r="B58" s="205" t="s">
        <v>189</v>
      </c>
      <c r="C58" s="378"/>
      <c r="D58" s="378"/>
      <c r="E58" s="370"/>
      <c r="F58" s="371"/>
      <c r="G58" s="375"/>
      <c r="H58" s="376"/>
      <c r="I58" s="377"/>
      <c r="J58" s="32"/>
      <c r="K58" s="32"/>
    </row>
    <row r="59" spans="2:11" hidden="1" x14ac:dyDescent="0.25">
      <c r="B59" s="3"/>
      <c r="C59" s="3"/>
      <c r="D59" s="5"/>
      <c r="E59" s="5"/>
      <c r="F59" s="5"/>
      <c r="G59" s="5"/>
      <c r="H59" s="5"/>
      <c r="I59" s="42"/>
      <c r="J59" s="33"/>
      <c r="K59" s="33"/>
    </row>
    <row r="60" spans="2:11" hidden="1" x14ac:dyDescent="0.25">
      <c r="B60" s="43"/>
      <c r="C60" s="44"/>
      <c r="D60" s="44"/>
      <c r="E60" s="45"/>
      <c r="F60" s="45"/>
      <c r="G60" s="46"/>
      <c r="H60" s="47"/>
      <c r="I60" s="44"/>
      <c r="J60" s="34"/>
      <c r="K60" s="34"/>
    </row>
    <row r="61" spans="2:11" hidden="1" x14ac:dyDescent="0.25">
      <c r="B61" s="43"/>
      <c r="C61" s="44"/>
      <c r="D61" s="44"/>
      <c r="E61" s="45"/>
      <c r="F61" s="45"/>
      <c r="G61" s="46"/>
      <c r="H61" s="47"/>
      <c r="I61" s="44"/>
      <c r="J61" s="34"/>
      <c r="K61" s="34"/>
    </row>
    <row r="62" spans="2:11" hidden="1" x14ac:dyDescent="0.25">
      <c r="B62" s="43"/>
      <c r="C62" s="44"/>
      <c r="D62" s="44"/>
      <c r="E62" s="45"/>
      <c r="F62" s="45"/>
      <c r="G62" s="46"/>
      <c r="H62" s="47"/>
      <c r="I62" s="44"/>
      <c r="J62" s="34"/>
      <c r="K62" s="34"/>
    </row>
    <row r="63" spans="2:11" hidden="1" x14ac:dyDescent="0.25">
      <c r="B63" s="43"/>
      <c r="C63" s="44"/>
      <c r="D63" s="44"/>
      <c r="E63" s="45"/>
      <c r="F63" s="45"/>
      <c r="G63" s="46"/>
      <c r="H63" s="47"/>
      <c r="I63" s="44"/>
      <c r="J63" s="34"/>
      <c r="K63" s="34"/>
    </row>
    <row r="64" spans="2:11" hidden="1" x14ac:dyDescent="0.25">
      <c r="B64" s="43"/>
      <c r="C64" s="44"/>
      <c r="D64" s="44"/>
      <c r="E64" s="45"/>
      <c r="F64" s="45"/>
      <c r="G64" s="46"/>
      <c r="H64" s="47"/>
      <c r="I64" s="44"/>
      <c r="J64" s="34"/>
      <c r="K64" s="34"/>
    </row>
    <row r="65" spans="2:11" hidden="1" x14ac:dyDescent="0.25">
      <c r="B65" s="43"/>
      <c r="C65" s="44"/>
      <c r="D65" s="44"/>
      <c r="E65" s="45"/>
      <c r="F65" s="45"/>
      <c r="G65" s="46"/>
      <c r="H65" s="47"/>
      <c r="I65" s="44"/>
      <c r="J65" s="34"/>
      <c r="K65" s="34"/>
    </row>
    <row r="66" spans="2:11" hidden="1" x14ac:dyDescent="0.25">
      <c r="B66" s="43"/>
      <c r="C66" s="44"/>
      <c r="D66" s="44"/>
      <c r="E66" s="45"/>
      <c r="F66" s="45"/>
      <c r="G66" s="46"/>
      <c r="H66" s="47"/>
      <c r="I66" s="44"/>
      <c r="J66" s="34"/>
      <c r="K66" s="34"/>
    </row>
    <row r="67" spans="2:11" hidden="1" x14ac:dyDescent="0.25">
      <c r="B67" s="43"/>
      <c r="C67" s="44"/>
      <c r="D67" s="44"/>
      <c r="E67" s="45"/>
      <c r="F67" s="45"/>
      <c r="G67" s="46"/>
      <c r="H67" s="47"/>
      <c r="I67" s="44"/>
      <c r="J67" s="34"/>
      <c r="K67" s="34"/>
    </row>
    <row r="68" spans="2:11" x14ac:dyDescent="0.2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44140625" defaultRowHeight="14.4" x14ac:dyDescent="0.3"/>
  <cols>
    <col min="1" max="1" width="1.33203125" customWidth="1"/>
    <col min="2" max="2" width="20.109375" style="38" customWidth="1"/>
    <col min="3" max="3" width="34.44140625" customWidth="1"/>
    <col min="4" max="4" width="14.33203125" customWidth="1"/>
    <col min="5" max="5" width="5.6640625" customWidth="1"/>
    <col min="6" max="6" width="47" customWidth="1"/>
    <col min="7" max="8" width="16.109375" customWidth="1"/>
    <col min="9" max="9" width="16.33203125" customWidth="1"/>
    <col min="10" max="10" width="15.6640625" customWidth="1"/>
    <col min="11" max="11" width="20" customWidth="1"/>
    <col min="13" max="13" width="17.6640625" bestFit="1" customWidth="1"/>
    <col min="108" max="108" width="11.44140625" customWidth="1"/>
    <col min="198" max="198" width="1.44140625" customWidth="1"/>
  </cols>
  <sheetData>
    <row r="1" spans="2:11" ht="18" customHeight="1" thickBot="1" x14ac:dyDescent="0.35">
      <c r="B1" s="484"/>
      <c r="C1" s="487" t="s">
        <v>0</v>
      </c>
      <c r="D1" s="488"/>
      <c r="E1" s="488"/>
      <c r="F1" s="488"/>
      <c r="G1" s="488"/>
      <c r="H1" s="489"/>
      <c r="I1" s="490"/>
      <c r="J1" s="491"/>
    </row>
    <row r="2" spans="2:11" ht="18" customHeight="1" thickBot="1" x14ac:dyDescent="0.35">
      <c r="B2" s="485"/>
      <c r="C2" s="487" t="s">
        <v>1</v>
      </c>
      <c r="D2" s="488"/>
      <c r="E2" s="488"/>
      <c r="F2" s="488"/>
      <c r="G2" s="488"/>
      <c r="H2" s="489"/>
      <c r="I2" s="492"/>
      <c r="J2" s="493"/>
    </row>
    <row r="3" spans="2:11" ht="18" customHeight="1" thickBot="1" x14ac:dyDescent="0.35">
      <c r="B3" s="485"/>
      <c r="C3" s="487" t="s">
        <v>434</v>
      </c>
      <c r="D3" s="488"/>
      <c r="E3" s="488"/>
      <c r="F3" s="488"/>
      <c r="G3" s="488"/>
      <c r="H3" s="489"/>
      <c r="I3" s="492"/>
      <c r="J3" s="493"/>
    </row>
    <row r="4" spans="2:11" ht="18" customHeight="1" thickBot="1" x14ac:dyDescent="0.35">
      <c r="B4" s="486"/>
      <c r="C4" s="487" t="s">
        <v>191</v>
      </c>
      <c r="D4" s="488"/>
      <c r="E4" s="488"/>
      <c r="F4" s="489"/>
      <c r="G4" s="496" t="s">
        <v>192</v>
      </c>
      <c r="H4" s="497"/>
      <c r="I4" s="494"/>
      <c r="J4" s="495"/>
    </row>
    <row r="5" spans="2:11" ht="18" customHeight="1" thickBot="1" x14ac:dyDescent="0.35">
      <c r="B5" s="35"/>
      <c r="C5" s="10"/>
      <c r="D5" s="10"/>
      <c r="E5" s="10"/>
      <c r="F5" s="10"/>
      <c r="G5" s="10"/>
      <c r="H5" s="10"/>
      <c r="I5" s="10"/>
      <c r="J5" s="36"/>
    </row>
    <row r="6" spans="2:11" ht="51.75" customHeight="1" thickBot="1" x14ac:dyDescent="0.35">
      <c r="B6" s="1" t="s">
        <v>435</v>
      </c>
      <c r="C6" s="498" t="s">
        <v>39</v>
      </c>
      <c r="D6" s="499"/>
      <c r="E6" s="500"/>
      <c r="F6" s="37"/>
      <c r="G6" s="10"/>
      <c r="H6" s="10"/>
      <c r="I6" s="10"/>
      <c r="J6" s="36"/>
    </row>
    <row r="7" spans="2:11" ht="32.25" customHeight="1" thickBot="1" x14ac:dyDescent="0.35">
      <c r="B7" s="2" t="s">
        <v>194</v>
      </c>
      <c r="C7" s="498" t="s">
        <v>86</v>
      </c>
      <c r="D7" s="499"/>
      <c r="E7" s="500"/>
      <c r="F7" s="37"/>
      <c r="G7" s="10"/>
      <c r="H7" s="10"/>
      <c r="I7" s="10"/>
      <c r="J7" s="36"/>
    </row>
    <row r="8" spans="2:11" ht="32.25" customHeight="1" thickBot="1" x14ac:dyDescent="0.35">
      <c r="B8" s="2" t="s">
        <v>195</v>
      </c>
      <c r="C8" s="498" t="s">
        <v>196</v>
      </c>
      <c r="D8" s="499"/>
      <c r="E8" s="500"/>
      <c r="F8" s="4"/>
      <c r="G8" s="10"/>
      <c r="H8" s="10"/>
      <c r="I8" s="10"/>
      <c r="J8" s="36"/>
    </row>
    <row r="9" spans="2:11" ht="33.75" customHeight="1" thickBot="1" x14ac:dyDescent="0.35">
      <c r="B9" s="2" t="s">
        <v>197</v>
      </c>
      <c r="C9" s="498" t="s">
        <v>186</v>
      </c>
      <c r="D9" s="499"/>
      <c r="E9" s="500"/>
      <c r="F9" s="37"/>
      <c r="G9" s="10"/>
      <c r="H9" s="10"/>
      <c r="I9" s="10"/>
      <c r="J9" s="36"/>
    </row>
    <row r="10" spans="2:11" ht="33.75" customHeight="1" thickBot="1" x14ac:dyDescent="0.35">
      <c r="B10" s="64" t="s">
        <v>198</v>
      </c>
      <c r="C10" s="498" t="s">
        <v>436</v>
      </c>
      <c r="D10" s="499"/>
      <c r="E10" s="500"/>
      <c r="F10" s="37"/>
      <c r="G10" s="10"/>
      <c r="H10" s="10"/>
      <c r="I10" s="10"/>
      <c r="J10" s="36"/>
    </row>
    <row r="11" spans="2:11" ht="34.5" customHeight="1" x14ac:dyDescent="0.3"/>
    <row r="12" spans="2:11" ht="21.75" customHeight="1" x14ac:dyDescent="0.3">
      <c r="B12" s="477" t="s">
        <v>437</v>
      </c>
      <c r="C12" s="478"/>
      <c r="D12" s="478"/>
      <c r="E12" s="478"/>
      <c r="F12" s="478"/>
      <c r="G12" s="478"/>
      <c r="H12" s="479"/>
      <c r="I12" s="891" t="s">
        <v>200</v>
      </c>
      <c r="J12" s="892"/>
      <c r="K12" s="892"/>
    </row>
    <row r="13" spans="2:11" s="39" customFormat="1" ht="30" customHeight="1" x14ac:dyDescent="0.3">
      <c r="B13" s="258" t="s">
        <v>201</v>
      </c>
      <c r="C13" s="258" t="s">
        <v>202</v>
      </c>
      <c r="D13" s="258" t="s">
        <v>203</v>
      </c>
      <c r="E13" s="258" t="s">
        <v>204</v>
      </c>
      <c r="F13" s="258" t="s">
        <v>205</v>
      </c>
      <c r="G13" s="258" t="s">
        <v>206</v>
      </c>
      <c r="H13" s="258" t="s">
        <v>207</v>
      </c>
      <c r="I13" s="259" t="s">
        <v>208</v>
      </c>
      <c r="J13" s="259" t="s">
        <v>209</v>
      </c>
      <c r="K13" s="259" t="s">
        <v>210</v>
      </c>
    </row>
    <row r="14" spans="2:11" s="39" customFormat="1" x14ac:dyDescent="0.3">
      <c r="B14" s="260"/>
      <c r="C14" s="261"/>
      <c r="D14" s="262"/>
      <c r="E14" s="263"/>
      <c r="F14" s="261"/>
      <c r="G14" s="262"/>
      <c r="H14" s="264"/>
      <c r="I14" s="265"/>
      <c r="J14" s="266"/>
      <c r="K14" s="263"/>
    </row>
    <row r="15" spans="2:11" ht="165" customHeight="1" x14ac:dyDescent="0.3">
      <c r="B15" s="260"/>
      <c r="C15" s="267"/>
      <c r="D15" s="262"/>
      <c r="E15" s="268"/>
      <c r="F15" s="269"/>
      <c r="G15" s="262"/>
      <c r="H15" s="264"/>
      <c r="I15" s="265"/>
      <c r="J15" s="266"/>
      <c r="K15" s="889"/>
    </row>
    <row r="16" spans="2:11" x14ac:dyDescent="0.3">
      <c r="B16" s="260"/>
      <c r="C16" s="261"/>
      <c r="D16" s="262"/>
      <c r="E16" s="263"/>
      <c r="F16" s="261"/>
      <c r="G16" s="262"/>
      <c r="H16" s="264"/>
      <c r="I16" s="265"/>
      <c r="J16" s="266"/>
      <c r="K16" s="890"/>
    </row>
    <row r="17" spans="2:12" x14ac:dyDescent="0.3">
      <c r="B17" s="260"/>
      <c r="C17" s="270"/>
      <c r="D17" s="262"/>
      <c r="E17" s="263"/>
      <c r="F17" s="270"/>
      <c r="G17" s="262"/>
      <c r="H17" s="271"/>
      <c r="I17" s="265"/>
      <c r="J17" s="266"/>
      <c r="K17" s="263"/>
    </row>
    <row r="18" spans="2:12" x14ac:dyDescent="0.3">
      <c r="B18" s="260"/>
      <c r="C18" s="270"/>
      <c r="D18" s="262"/>
      <c r="E18" s="263"/>
      <c r="F18" s="270"/>
      <c r="G18" s="262"/>
      <c r="H18" s="271"/>
      <c r="I18" s="272"/>
      <c r="J18" s="266"/>
      <c r="K18" s="273"/>
    </row>
    <row r="19" spans="2:12" ht="15" customHeight="1" x14ac:dyDescent="0.3">
      <c r="B19" s="885" t="s">
        <v>217</v>
      </c>
      <c r="C19" s="886"/>
      <c r="D19" s="274">
        <f>SUM(D15:D16)</f>
        <v>0</v>
      </c>
      <c r="E19" s="887" t="s">
        <v>217</v>
      </c>
      <c r="F19" s="888"/>
      <c r="G19" s="274">
        <v>1</v>
      </c>
      <c r="H19" s="275"/>
      <c r="I19" s="276">
        <f>SUM(I14:I18)</f>
        <v>0</v>
      </c>
      <c r="J19" s="277"/>
      <c r="K19" s="277"/>
    </row>
    <row r="23" spans="2:12" x14ac:dyDescent="0.3">
      <c r="L23" s="78"/>
    </row>
    <row r="24" spans="2:12" x14ac:dyDescent="0.3">
      <c r="L24" s="78"/>
    </row>
    <row r="25" spans="2:12" x14ac:dyDescent="0.3">
      <c r="L25" s="78"/>
    </row>
    <row r="26" spans="2:12" x14ac:dyDescent="0.3">
      <c r="L26" s="78"/>
    </row>
    <row r="27" spans="2:12" x14ac:dyDescent="0.3">
      <c r="L27" s="78"/>
    </row>
    <row r="28" spans="2:12" x14ac:dyDescent="0.3">
      <c r="L28" s="78"/>
    </row>
    <row r="30" spans="2:12" x14ac:dyDescent="0.3">
      <c r="L30" s="79"/>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44140625" defaultRowHeight="14.4" x14ac:dyDescent="0.3"/>
  <sheetData>
    <row r="9" spans="10:12" x14ac:dyDescent="0.3">
      <c r="K9" s="278" t="s">
        <v>438</v>
      </c>
      <c r="L9" s="278" t="s">
        <v>439</v>
      </c>
    </row>
    <row r="10" spans="10:12" x14ac:dyDescent="0.3">
      <c r="J10" s="279" t="s">
        <v>440</v>
      </c>
      <c r="K10" s="279">
        <v>77</v>
      </c>
      <c r="L10" s="279">
        <v>2</v>
      </c>
    </row>
    <row r="11" spans="10:12" x14ac:dyDescent="0.3">
      <c r="J11" s="216"/>
      <c r="K11" s="216"/>
      <c r="L11" s="216">
        <v>37</v>
      </c>
    </row>
    <row r="12" spans="10:12" x14ac:dyDescent="0.3">
      <c r="J12" s="216"/>
      <c r="K12" s="216"/>
      <c r="L12" s="216">
        <v>43</v>
      </c>
    </row>
    <row r="13" spans="10:12" x14ac:dyDescent="0.3">
      <c r="K13" s="216" t="s">
        <v>441</v>
      </c>
      <c r="L13" s="280">
        <f>SUM(L10:L12)</f>
        <v>82</v>
      </c>
    </row>
    <row r="14" spans="10:12" x14ac:dyDescent="0.3">
      <c r="J14" s="279" t="s">
        <v>442</v>
      </c>
      <c r="K14" s="279">
        <v>115</v>
      </c>
      <c r="L14" s="279">
        <v>16</v>
      </c>
    </row>
    <row r="15" spans="10:12" x14ac:dyDescent="0.3">
      <c r="J15" s="216"/>
      <c r="K15" s="216"/>
      <c r="L15" s="216">
        <v>27</v>
      </c>
    </row>
    <row r="16" spans="10:12" x14ac:dyDescent="0.3">
      <c r="J16" s="216"/>
      <c r="K16" s="216"/>
      <c r="L16" s="216">
        <v>10</v>
      </c>
    </row>
    <row r="17" spans="10:14" x14ac:dyDescent="0.3">
      <c r="J17" s="216"/>
      <c r="K17" s="216" t="s">
        <v>441</v>
      </c>
      <c r="L17" s="280">
        <f>SUM(L14:L16)</f>
        <v>53</v>
      </c>
    </row>
    <row r="18" spans="10:14" x14ac:dyDescent="0.3">
      <c r="J18" s="279" t="s">
        <v>443</v>
      </c>
      <c r="K18" s="279">
        <v>7</v>
      </c>
      <c r="L18" s="279">
        <v>13</v>
      </c>
    </row>
    <row r="19" spans="10:14" x14ac:dyDescent="0.3">
      <c r="J19" s="216"/>
      <c r="K19" s="216"/>
      <c r="L19" s="216">
        <v>14</v>
      </c>
    </row>
    <row r="20" spans="10:14" x14ac:dyDescent="0.3">
      <c r="J20" s="216"/>
      <c r="K20" s="216"/>
      <c r="L20" s="216">
        <v>10</v>
      </c>
    </row>
    <row r="21" spans="10:14" x14ac:dyDescent="0.3">
      <c r="J21" s="216"/>
      <c r="K21" s="216" t="s">
        <v>441</v>
      </c>
      <c r="L21" s="280">
        <f>SUM(L18:L20)</f>
        <v>37</v>
      </c>
    </row>
    <row r="22" spans="10:14" x14ac:dyDescent="0.3">
      <c r="J22" s="279" t="s">
        <v>444</v>
      </c>
      <c r="K22" s="279">
        <v>52</v>
      </c>
      <c r="L22" s="279">
        <v>10</v>
      </c>
    </row>
    <row r="23" spans="10:14" x14ac:dyDescent="0.3">
      <c r="J23" s="216"/>
      <c r="K23" s="216"/>
      <c r="L23" s="216">
        <v>0</v>
      </c>
    </row>
    <row r="24" spans="10:14" x14ac:dyDescent="0.3">
      <c r="J24" s="216"/>
      <c r="K24" s="216"/>
      <c r="L24" s="216">
        <v>59</v>
      </c>
    </row>
    <row r="25" spans="10:14" x14ac:dyDescent="0.3">
      <c r="J25" s="216"/>
      <c r="K25" s="216" t="s">
        <v>441</v>
      </c>
      <c r="L25" s="280">
        <f>SUM(L22:L24)</f>
        <v>69</v>
      </c>
    </row>
    <row r="27" spans="10:14" x14ac:dyDescent="0.3">
      <c r="J27" s="76" t="s">
        <v>445</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44140625" defaultRowHeight="14.4" x14ac:dyDescent="0.3"/>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640625" defaultRowHeight="13.2" x14ac:dyDescent="0.25"/>
  <cols>
    <col min="1" max="1" width="1" style="7" customWidth="1"/>
    <col min="2" max="2" width="25.44140625" style="8" customWidth="1"/>
    <col min="3" max="3" width="14.44140625" style="7" customWidth="1"/>
    <col min="4" max="4" width="20.109375" style="7" customWidth="1"/>
    <col min="5" max="5" width="16.44140625" style="7" customWidth="1"/>
    <col min="6" max="6" width="25" style="7" customWidth="1"/>
    <col min="7" max="7" width="22" style="9" customWidth="1"/>
    <col min="8" max="8" width="20.44140625" style="7" customWidth="1"/>
    <col min="9" max="11" width="22.44140625" style="7" customWidth="1"/>
    <col min="12" max="24" width="10.6640625" style="3"/>
    <col min="25" max="16384" width="10.6640625" style="7"/>
  </cols>
  <sheetData>
    <row r="1" spans="2:14" ht="6" customHeight="1" thickBot="1" x14ac:dyDescent="0.3"/>
    <row r="2" spans="2:14" ht="25.5" customHeight="1" x14ac:dyDescent="0.25">
      <c r="B2" s="463"/>
      <c r="C2" s="461" t="s">
        <v>0</v>
      </c>
      <c r="D2" s="461"/>
      <c r="E2" s="461"/>
      <c r="F2" s="461"/>
      <c r="G2" s="461"/>
      <c r="H2" s="461"/>
      <c r="I2" s="465"/>
      <c r="J2" s="10"/>
      <c r="K2" s="10"/>
      <c r="M2" s="11" t="s">
        <v>67</v>
      </c>
    </row>
    <row r="3" spans="2:14" ht="25.5" customHeight="1" x14ac:dyDescent="0.25">
      <c r="B3" s="464"/>
      <c r="C3" s="462" t="s">
        <v>1</v>
      </c>
      <c r="D3" s="462"/>
      <c r="E3" s="462"/>
      <c r="F3" s="462"/>
      <c r="G3" s="462"/>
      <c r="H3" s="462"/>
      <c r="I3" s="466"/>
      <c r="J3" s="10"/>
      <c r="K3" s="10"/>
      <c r="M3" s="11" t="s">
        <v>68</v>
      </c>
    </row>
    <row r="4" spans="2:14" ht="25.5" customHeight="1" x14ac:dyDescent="0.25">
      <c r="B4" s="464"/>
      <c r="C4" s="462" t="s">
        <v>69</v>
      </c>
      <c r="D4" s="462"/>
      <c r="E4" s="462"/>
      <c r="F4" s="462"/>
      <c r="G4" s="462"/>
      <c r="H4" s="462"/>
      <c r="I4" s="466"/>
      <c r="J4" s="10"/>
      <c r="K4" s="10"/>
      <c r="M4" s="11" t="s">
        <v>70</v>
      </c>
    </row>
    <row r="5" spans="2:14" ht="25.5" customHeight="1" x14ac:dyDescent="0.25">
      <c r="B5" s="464"/>
      <c r="C5" s="462" t="s">
        <v>71</v>
      </c>
      <c r="D5" s="462"/>
      <c r="E5" s="462"/>
      <c r="F5" s="462"/>
      <c r="G5" s="467" t="s">
        <v>72</v>
      </c>
      <c r="H5" s="467"/>
      <c r="I5" s="466"/>
      <c r="J5" s="10"/>
      <c r="K5" s="10"/>
      <c r="M5" s="11" t="s">
        <v>73</v>
      </c>
    </row>
    <row r="6" spans="2:14" ht="23.25" customHeight="1" x14ac:dyDescent="0.25">
      <c r="B6" s="446" t="s">
        <v>74</v>
      </c>
      <c r="C6" s="447"/>
      <c r="D6" s="447"/>
      <c r="E6" s="447"/>
      <c r="F6" s="447"/>
      <c r="G6" s="447"/>
      <c r="H6" s="447"/>
      <c r="I6" s="448"/>
      <c r="J6" s="12"/>
      <c r="K6" s="12"/>
    </row>
    <row r="7" spans="2:14" ht="24" customHeight="1" x14ac:dyDescent="0.25">
      <c r="B7" s="449" t="s">
        <v>75</v>
      </c>
      <c r="C7" s="450"/>
      <c r="D7" s="450"/>
      <c r="E7" s="450"/>
      <c r="F7" s="450"/>
      <c r="G7" s="450"/>
      <c r="H7" s="450"/>
      <c r="I7" s="451"/>
      <c r="J7" s="13"/>
      <c r="K7" s="13"/>
    </row>
    <row r="8" spans="2:14" ht="24" customHeight="1" x14ac:dyDescent="0.25">
      <c r="B8" s="452" t="s">
        <v>76</v>
      </c>
      <c r="C8" s="453"/>
      <c r="D8" s="453"/>
      <c r="E8" s="453"/>
      <c r="F8" s="453"/>
      <c r="G8" s="453"/>
      <c r="H8" s="453"/>
      <c r="I8" s="454"/>
      <c r="J8" s="40"/>
      <c r="K8" s="40"/>
      <c r="N8" s="6" t="s">
        <v>77</v>
      </c>
    </row>
    <row r="9" spans="2:14" ht="30.75" customHeight="1" x14ac:dyDescent="0.25">
      <c r="B9" s="62" t="s">
        <v>78</v>
      </c>
      <c r="C9" s="41">
        <v>231</v>
      </c>
      <c r="D9" s="458" t="s">
        <v>79</v>
      </c>
      <c r="E9" s="458"/>
      <c r="F9" s="409" t="s">
        <v>80</v>
      </c>
      <c r="G9" s="410"/>
      <c r="H9" s="410"/>
      <c r="I9" s="411"/>
      <c r="J9" s="14"/>
      <c r="K9" s="14"/>
      <c r="M9" s="11" t="s">
        <v>81</v>
      </c>
      <c r="N9" s="6" t="s">
        <v>82</v>
      </c>
    </row>
    <row r="10" spans="2:14" ht="30.75" customHeight="1" x14ac:dyDescent="0.25">
      <c r="B10" s="183" t="s">
        <v>83</v>
      </c>
      <c r="C10" s="184" t="s">
        <v>84</v>
      </c>
      <c r="D10" s="459" t="s">
        <v>85</v>
      </c>
      <c r="E10" s="460"/>
      <c r="F10" s="443" t="s">
        <v>86</v>
      </c>
      <c r="G10" s="444"/>
      <c r="H10" s="185" t="s">
        <v>87</v>
      </c>
      <c r="I10" s="186" t="s">
        <v>84</v>
      </c>
      <c r="J10" s="15"/>
      <c r="K10" s="15"/>
      <c r="M10" s="11" t="s">
        <v>88</v>
      </c>
      <c r="N10" s="6" t="s">
        <v>89</v>
      </c>
    </row>
    <row r="11" spans="2:14" ht="30.75" customHeight="1" x14ac:dyDescent="0.25">
      <c r="B11" s="183" t="s">
        <v>90</v>
      </c>
      <c r="C11" s="455" t="s">
        <v>91</v>
      </c>
      <c r="D11" s="455"/>
      <c r="E11" s="455"/>
      <c r="F11" s="455"/>
      <c r="G11" s="185" t="s">
        <v>92</v>
      </c>
      <c r="H11" s="456">
        <v>1032</v>
      </c>
      <c r="I11" s="457"/>
      <c r="J11" s="16"/>
      <c r="K11" s="16"/>
      <c r="M11" s="11" t="s">
        <v>93</v>
      </c>
      <c r="N11" s="6" t="s">
        <v>44</v>
      </c>
    </row>
    <row r="12" spans="2:14" ht="30.75" customHeight="1" x14ac:dyDescent="0.25">
      <c r="B12" s="183" t="s">
        <v>94</v>
      </c>
      <c r="C12" s="440" t="s">
        <v>88</v>
      </c>
      <c r="D12" s="440"/>
      <c r="E12" s="440"/>
      <c r="F12" s="440"/>
      <c r="G12" s="185" t="s">
        <v>95</v>
      </c>
      <c r="H12" s="441" t="s">
        <v>96</v>
      </c>
      <c r="I12" s="442"/>
      <c r="J12" s="17"/>
      <c r="K12" s="17"/>
      <c r="M12" s="18" t="s">
        <v>97</v>
      </c>
    </row>
    <row r="13" spans="2:14" ht="30.75" customHeight="1" x14ac:dyDescent="0.25">
      <c r="B13" s="183" t="s">
        <v>98</v>
      </c>
      <c r="C13" s="436" t="s">
        <v>99</v>
      </c>
      <c r="D13" s="436"/>
      <c r="E13" s="436"/>
      <c r="F13" s="436"/>
      <c r="G13" s="436"/>
      <c r="H13" s="436"/>
      <c r="I13" s="437"/>
      <c r="J13" s="19"/>
      <c r="K13" s="19"/>
      <c r="M13" s="18"/>
    </row>
    <row r="14" spans="2:14" ht="30.75" customHeight="1" x14ac:dyDescent="0.25">
      <c r="B14" s="183" t="s">
        <v>100</v>
      </c>
      <c r="C14" s="443" t="s">
        <v>101</v>
      </c>
      <c r="D14" s="444"/>
      <c r="E14" s="444"/>
      <c r="F14" s="444"/>
      <c r="G14" s="444"/>
      <c r="H14" s="444"/>
      <c r="I14" s="445"/>
      <c r="J14" s="15"/>
      <c r="K14" s="15"/>
      <c r="M14" s="18"/>
      <c r="N14" s="6" t="s">
        <v>102</v>
      </c>
    </row>
    <row r="15" spans="2:14" ht="30.75" customHeight="1" x14ac:dyDescent="0.25">
      <c r="B15" s="183" t="s">
        <v>103</v>
      </c>
      <c r="C15" s="430" t="s">
        <v>104</v>
      </c>
      <c r="D15" s="430"/>
      <c r="E15" s="430"/>
      <c r="F15" s="430"/>
      <c r="G15" s="185" t="s">
        <v>105</v>
      </c>
      <c r="H15" s="432" t="s">
        <v>106</v>
      </c>
      <c r="I15" s="433"/>
      <c r="J15" s="15"/>
      <c r="K15" s="15"/>
      <c r="M15" s="18" t="s">
        <v>107</v>
      </c>
      <c r="N15" s="6" t="s">
        <v>84</v>
      </c>
    </row>
    <row r="16" spans="2:14" ht="30.75" customHeight="1" x14ac:dyDescent="0.25">
      <c r="B16" s="183" t="s">
        <v>108</v>
      </c>
      <c r="C16" s="434" t="s">
        <v>109</v>
      </c>
      <c r="D16" s="435"/>
      <c r="E16" s="435"/>
      <c r="F16" s="435"/>
      <c r="G16" s="185" t="s">
        <v>110</v>
      </c>
      <c r="H16" s="432" t="s">
        <v>44</v>
      </c>
      <c r="I16" s="433"/>
      <c r="J16" s="15"/>
      <c r="K16" s="15"/>
      <c r="M16" s="18" t="s">
        <v>111</v>
      </c>
    </row>
    <row r="17" spans="2:14" ht="36" customHeight="1" x14ac:dyDescent="0.25">
      <c r="B17" s="183" t="s">
        <v>112</v>
      </c>
      <c r="C17" s="436" t="s">
        <v>113</v>
      </c>
      <c r="D17" s="436"/>
      <c r="E17" s="436"/>
      <c r="F17" s="436"/>
      <c r="G17" s="436"/>
      <c r="H17" s="436"/>
      <c r="I17" s="437"/>
      <c r="J17" s="19"/>
      <c r="K17" s="19"/>
      <c r="M17" s="18" t="s">
        <v>114</v>
      </c>
      <c r="N17" s="6" t="s">
        <v>115</v>
      </c>
    </row>
    <row r="18" spans="2:14" ht="30.75" customHeight="1" x14ac:dyDescent="0.25">
      <c r="B18" s="183" t="s">
        <v>116</v>
      </c>
      <c r="C18" s="430" t="s">
        <v>117</v>
      </c>
      <c r="D18" s="430"/>
      <c r="E18" s="430"/>
      <c r="F18" s="430"/>
      <c r="G18" s="430"/>
      <c r="H18" s="430"/>
      <c r="I18" s="431"/>
      <c r="J18" s="20"/>
      <c r="K18" s="20"/>
      <c r="M18" s="18" t="s">
        <v>118</v>
      </c>
      <c r="N18" s="6" t="s">
        <v>119</v>
      </c>
    </row>
    <row r="19" spans="2:14" ht="30.75" customHeight="1" x14ac:dyDescent="0.25">
      <c r="B19" s="183" t="s">
        <v>120</v>
      </c>
      <c r="C19" s="430" t="s">
        <v>121</v>
      </c>
      <c r="D19" s="430"/>
      <c r="E19" s="430"/>
      <c r="F19" s="430"/>
      <c r="G19" s="430"/>
      <c r="H19" s="430"/>
      <c r="I19" s="431"/>
      <c r="J19" s="21"/>
      <c r="K19" s="21"/>
      <c r="M19" s="18"/>
      <c r="N19" s="6" t="s">
        <v>122</v>
      </c>
    </row>
    <row r="20" spans="2:14" ht="30.75" customHeight="1" x14ac:dyDescent="0.25">
      <c r="B20" s="183" t="s">
        <v>123</v>
      </c>
      <c r="C20" s="438" t="s">
        <v>56</v>
      </c>
      <c r="D20" s="438"/>
      <c r="E20" s="438"/>
      <c r="F20" s="438"/>
      <c r="G20" s="438"/>
      <c r="H20" s="438"/>
      <c r="I20" s="439"/>
      <c r="J20" s="22"/>
      <c r="K20" s="22"/>
      <c r="M20" s="18" t="s">
        <v>106</v>
      </c>
      <c r="N20" s="6" t="s">
        <v>124</v>
      </c>
    </row>
    <row r="21" spans="2:14" ht="27.75" customHeight="1" x14ac:dyDescent="0.25">
      <c r="B21" s="425" t="s">
        <v>125</v>
      </c>
      <c r="C21" s="427" t="s">
        <v>126</v>
      </c>
      <c r="D21" s="427"/>
      <c r="E21" s="427"/>
      <c r="F21" s="428" t="s">
        <v>127</v>
      </c>
      <c r="G21" s="428"/>
      <c r="H21" s="428"/>
      <c r="I21" s="429"/>
      <c r="J21" s="23"/>
      <c r="K21" s="23"/>
      <c r="M21" s="18" t="s">
        <v>128</v>
      </c>
      <c r="N21" s="6" t="s">
        <v>129</v>
      </c>
    </row>
    <row r="22" spans="2:14" ht="27" customHeight="1" x14ac:dyDescent="0.25">
      <c r="B22" s="426"/>
      <c r="C22" s="430" t="s">
        <v>130</v>
      </c>
      <c r="D22" s="430"/>
      <c r="E22" s="430"/>
      <c r="F22" s="430" t="s">
        <v>131</v>
      </c>
      <c r="G22" s="430"/>
      <c r="H22" s="430"/>
      <c r="I22" s="431"/>
      <c r="J22" s="21"/>
      <c r="K22" s="21"/>
      <c r="M22" s="18" t="s">
        <v>132</v>
      </c>
      <c r="N22" s="6" t="s">
        <v>133</v>
      </c>
    </row>
    <row r="23" spans="2:14" ht="39.75" customHeight="1" x14ac:dyDescent="0.25">
      <c r="B23" s="183" t="s">
        <v>134</v>
      </c>
      <c r="C23" s="432" t="s">
        <v>56</v>
      </c>
      <c r="D23" s="432"/>
      <c r="E23" s="432"/>
      <c r="F23" s="432" t="s">
        <v>56</v>
      </c>
      <c r="G23" s="432"/>
      <c r="H23" s="432"/>
      <c r="I23" s="433"/>
      <c r="J23" s="15"/>
      <c r="K23" s="15"/>
      <c r="M23" s="18"/>
      <c r="N23" s="6" t="s">
        <v>99</v>
      </c>
    </row>
    <row r="24" spans="2:14" ht="44.25" customHeight="1" x14ac:dyDescent="0.25">
      <c r="B24" s="183" t="s">
        <v>135</v>
      </c>
      <c r="C24" s="406" t="s">
        <v>136</v>
      </c>
      <c r="D24" s="407"/>
      <c r="E24" s="408"/>
      <c r="F24" s="409" t="s">
        <v>137</v>
      </c>
      <c r="G24" s="410"/>
      <c r="H24" s="410"/>
      <c r="I24" s="411"/>
      <c r="J24" s="20"/>
      <c r="K24" s="20"/>
      <c r="M24" s="24"/>
      <c r="N24" s="6" t="s">
        <v>138</v>
      </c>
    </row>
    <row r="25" spans="2:14" ht="29.25" customHeight="1" x14ac:dyDescent="0.25">
      <c r="B25" s="183" t="s">
        <v>139</v>
      </c>
      <c r="C25" s="412" t="s">
        <v>109</v>
      </c>
      <c r="D25" s="413"/>
      <c r="E25" s="414"/>
      <c r="F25" s="185" t="s">
        <v>140</v>
      </c>
      <c r="G25" s="415">
        <v>0.3</v>
      </c>
      <c r="H25" s="416"/>
      <c r="I25" s="417"/>
      <c r="J25" s="25"/>
      <c r="K25" s="25"/>
      <c r="M25" s="24"/>
    </row>
    <row r="26" spans="2:14" ht="27" customHeight="1" x14ac:dyDescent="0.25">
      <c r="B26" s="183" t="s">
        <v>141</v>
      </c>
      <c r="C26" s="409" t="s">
        <v>142</v>
      </c>
      <c r="D26" s="410"/>
      <c r="E26" s="418"/>
      <c r="F26" s="185" t="s">
        <v>143</v>
      </c>
      <c r="G26" s="419">
        <v>0.3</v>
      </c>
      <c r="H26" s="420"/>
      <c r="I26" s="421"/>
      <c r="J26" s="26"/>
      <c r="K26" s="26"/>
      <c r="M26" s="24"/>
    </row>
    <row r="27" spans="2:14" ht="47.25" customHeight="1" x14ac:dyDescent="0.25">
      <c r="B27" s="187" t="s">
        <v>144</v>
      </c>
      <c r="C27" s="422" t="s">
        <v>114</v>
      </c>
      <c r="D27" s="423"/>
      <c r="E27" s="424"/>
      <c r="F27" s="188" t="s">
        <v>145</v>
      </c>
      <c r="G27" s="419" t="s">
        <v>146</v>
      </c>
      <c r="H27" s="420"/>
      <c r="I27" s="421"/>
      <c r="J27" s="23"/>
      <c r="K27" s="23"/>
      <c r="M27" s="24"/>
    </row>
    <row r="28" spans="2:14" ht="30" customHeight="1" x14ac:dyDescent="0.25">
      <c r="B28" s="389" t="s">
        <v>147</v>
      </c>
      <c r="C28" s="390"/>
      <c r="D28" s="390"/>
      <c r="E28" s="390"/>
      <c r="F28" s="390"/>
      <c r="G28" s="390"/>
      <c r="H28" s="390"/>
      <c r="I28" s="391"/>
      <c r="J28" s="40"/>
      <c r="K28" s="40"/>
      <c r="M28" s="24"/>
    </row>
    <row r="29" spans="2:14" ht="56.25" customHeight="1" x14ac:dyDescent="0.25">
      <c r="B29" s="189" t="s">
        <v>148</v>
      </c>
      <c r="C29" s="190" t="s">
        <v>149</v>
      </c>
      <c r="D29" s="190" t="s">
        <v>150</v>
      </c>
      <c r="E29" s="190" t="s">
        <v>151</v>
      </c>
      <c r="F29" s="190" t="s">
        <v>152</v>
      </c>
      <c r="G29" s="191" t="s">
        <v>153</v>
      </c>
      <c r="H29" s="191" t="s">
        <v>154</v>
      </c>
      <c r="I29" s="192" t="s">
        <v>155</v>
      </c>
      <c r="J29" s="51" t="s">
        <v>156</v>
      </c>
      <c r="K29" s="21"/>
      <c r="M29" s="24"/>
    </row>
    <row r="30" spans="2:14" ht="19.5" customHeight="1" x14ac:dyDescent="0.25">
      <c r="B30" s="193" t="s">
        <v>157</v>
      </c>
      <c r="C30" s="194">
        <v>0</v>
      </c>
      <c r="D30" s="195">
        <f>+C30</f>
        <v>0</v>
      </c>
      <c r="E30" s="196">
        <v>0</v>
      </c>
      <c r="F30" s="197">
        <f>+E30</f>
        <v>0</v>
      </c>
      <c r="G30" s="198" t="e">
        <f>+C30/E30</f>
        <v>#DIV/0!</v>
      </c>
      <c r="H30" s="199" t="e">
        <f>+D30/F30</f>
        <v>#DIV/0!</v>
      </c>
      <c r="I30" s="200">
        <f>+D30/$G$26</f>
        <v>0</v>
      </c>
      <c r="J30" s="50">
        <v>0.99</v>
      </c>
      <c r="K30" s="27"/>
      <c r="M30" s="24"/>
    </row>
    <row r="31" spans="2:14" ht="19.5" customHeight="1" x14ac:dyDescent="0.25">
      <c r="B31" s="193" t="s">
        <v>158</v>
      </c>
      <c r="C31" s="194">
        <v>0</v>
      </c>
      <c r="D31" s="195">
        <f>+D30+C31</f>
        <v>0</v>
      </c>
      <c r="E31" s="196">
        <v>0</v>
      </c>
      <c r="F31" s="197">
        <f>+F30+E31</f>
        <v>0</v>
      </c>
      <c r="G31" s="198" t="e">
        <f t="shared" ref="G31:H40" si="0">+C31/E31</f>
        <v>#DIV/0!</v>
      </c>
      <c r="H31" s="199" t="e">
        <f t="shared" si="0"/>
        <v>#DIV/0!</v>
      </c>
      <c r="I31" s="200">
        <f t="shared" ref="I31:I41" si="1">+D31/$G$26</f>
        <v>0</v>
      </c>
      <c r="J31" s="50">
        <v>0.99</v>
      </c>
      <c r="K31" s="27"/>
      <c r="M31" s="24"/>
    </row>
    <row r="32" spans="2:14" ht="19.5" customHeight="1" x14ac:dyDescent="0.25">
      <c r="B32" s="193" t="s">
        <v>159</v>
      </c>
      <c r="C32" s="194">
        <v>0</v>
      </c>
      <c r="D32" s="195">
        <f t="shared" ref="D32:D40" si="2">+D31+C32</f>
        <v>0</v>
      </c>
      <c r="E32" s="196">
        <v>0.19</v>
      </c>
      <c r="F32" s="197">
        <f t="shared" ref="F32:F41" si="3">+F31+E32</f>
        <v>0.19</v>
      </c>
      <c r="G32" s="198">
        <f t="shared" si="0"/>
        <v>0</v>
      </c>
      <c r="H32" s="199">
        <f t="shared" si="0"/>
        <v>0</v>
      </c>
      <c r="I32" s="200">
        <f t="shared" si="1"/>
        <v>0</v>
      </c>
      <c r="J32" s="50">
        <v>0.99</v>
      </c>
      <c r="K32" s="27"/>
      <c r="M32" s="24"/>
    </row>
    <row r="33" spans="2:11" ht="19.5" customHeight="1" x14ac:dyDescent="0.25">
      <c r="B33" s="193" t="s">
        <v>160</v>
      </c>
      <c r="C33" s="194">
        <v>0</v>
      </c>
      <c r="D33" s="195">
        <f t="shared" si="2"/>
        <v>0</v>
      </c>
      <c r="E33" s="196">
        <v>0</v>
      </c>
      <c r="F33" s="197">
        <f t="shared" si="3"/>
        <v>0.19</v>
      </c>
      <c r="G33" s="198" t="e">
        <f t="shared" si="0"/>
        <v>#DIV/0!</v>
      </c>
      <c r="H33" s="199">
        <f t="shared" si="0"/>
        <v>0</v>
      </c>
      <c r="I33" s="200">
        <f t="shared" si="1"/>
        <v>0</v>
      </c>
      <c r="J33" s="50">
        <v>0.99</v>
      </c>
      <c r="K33" s="27"/>
    </row>
    <row r="34" spans="2:11" ht="19.5" customHeight="1" x14ac:dyDescent="0.25">
      <c r="B34" s="193" t="s">
        <v>161</v>
      </c>
      <c r="C34" s="194">
        <v>0</v>
      </c>
      <c r="D34" s="195">
        <f t="shared" si="2"/>
        <v>0</v>
      </c>
      <c r="E34" s="196">
        <v>0</v>
      </c>
      <c r="F34" s="197">
        <f t="shared" si="3"/>
        <v>0.19</v>
      </c>
      <c r="G34" s="198" t="e">
        <f t="shared" si="0"/>
        <v>#DIV/0!</v>
      </c>
      <c r="H34" s="199">
        <f t="shared" si="0"/>
        <v>0</v>
      </c>
      <c r="I34" s="200">
        <f t="shared" si="1"/>
        <v>0</v>
      </c>
      <c r="J34" s="50">
        <v>0.99</v>
      </c>
      <c r="K34" s="27"/>
    </row>
    <row r="35" spans="2:11" ht="19.5" customHeight="1" x14ac:dyDescent="0.25">
      <c r="B35" s="193" t="s">
        <v>162</v>
      </c>
      <c r="C35" s="194">
        <v>0</v>
      </c>
      <c r="D35" s="195">
        <f t="shared" si="2"/>
        <v>0</v>
      </c>
      <c r="E35" s="196">
        <v>0</v>
      </c>
      <c r="F35" s="197">
        <f t="shared" si="3"/>
        <v>0.19</v>
      </c>
      <c r="G35" s="198" t="e">
        <f t="shared" si="0"/>
        <v>#DIV/0!</v>
      </c>
      <c r="H35" s="199">
        <f t="shared" si="0"/>
        <v>0</v>
      </c>
      <c r="I35" s="200">
        <f t="shared" si="1"/>
        <v>0</v>
      </c>
      <c r="J35" s="50">
        <v>0.99</v>
      </c>
      <c r="K35" s="27"/>
    </row>
    <row r="36" spans="2:11" ht="19.5" customHeight="1" x14ac:dyDescent="0.25">
      <c r="B36" s="193" t="s">
        <v>163</v>
      </c>
      <c r="C36" s="194">
        <v>0</v>
      </c>
      <c r="D36" s="195">
        <f t="shared" si="2"/>
        <v>0</v>
      </c>
      <c r="E36" s="196">
        <v>0</v>
      </c>
      <c r="F36" s="197">
        <f t="shared" si="3"/>
        <v>0.19</v>
      </c>
      <c r="G36" s="198" t="e">
        <f t="shared" si="0"/>
        <v>#DIV/0!</v>
      </c>
      <c r="H36" s="199">
        <f t="shared" si="0"/>
        <v>0</v>
      </c>
      <c r="I36" s="200">
        <f t="shared" si="1"/>
        <v>0</v>
      </c>
      <c r="J36" s="50">
        <v>0.99</v>
      </c>
      <c r="K36" s="27"/>
    </row>
    <row r="37" spans="2:11" ht="19.5" customHeight="1" x14ac:dyDescent="0.25">
      <c r="B37" s="193" t="s">
        <v>164</v>
      </c>
      <c r="C37" s="194">
        <v>0</v>
      </c>
      <c r="D37" s="195">
        <f t="shared" si="2"/>
        <v>0</v>
      </c>
      <c r="E37" s="196">
        <v>0</v>
      </c>
      <c r="F37" s="197">
        <f t="shared" si="3"/>
        <v>0.19</v>
      </c>
      <c r="G37" s="198" t="e">
        <f t="shared" si="0"/>
        <v>#DIV/0!</v>
      </c>
      <c r="H37" s="199">
        <f t="shared" si="0"/>
        <v>0</v>
      </c>
      <c r="I37" s="200">
        <f t="shared" si="1"/>
        <v>0</v>
      </c>
      <c r="J37" s="50">
        <v>0.99</v>
      </c>
      <c r="K37" s="27"/>
    </row>
    <row r="38" spans="2:11" ht="19.5" customHeight="1" x14ac:dyDescent="0.25">
      <c r="B38" s="193" t="s">
        <v>165</v>
      </c>
      <c r="C38" s="194">
        <v>0</v>
      </c>
      <c r="D38" s="195">
        <f t="shared" si="2"/>
        <v>0</v>
      </c>
      <c r="E38" s="196">
        <v>0.02</v>
      </c>
      <c r="F38" s="197">
        <f t="shared" si="3"/>
        <v>0.21</v>
      </c>
      <c r="G38" s="198">
        <f t="shared" si="0"/>
        <v>0</v>
      </c>
      <c r="H38" s="199">
        <f t="shared" si="0"/>
        <v>0</v>
      </c>
      <c r="I38" s="200">
        <f t="shared" si="1"/>
        <v>0</v>
      </c>
      <c r="J38" s="50">
        <v>0.99</v>
      </c>
      <c r="K38" s="27"/>
    </row>
    <row r="39" spans="2:11" ht="19.5" customHeight="1" x14ac:dyDescent="0.25">
      <c r="B39" s="193" t="s">
        <v>166</v>
      </c>
      <c r="C39" s="194">
        <v>0</v>
      </c>
      <c r="D39" s="195">
        <f t="shared" si="2"/>
        <v>0</v>
      </c>
      <c r="E39" s="196">
        <v>0</v>
      </c>
      <c r="F39" s="197">
        <f t="shared" si="3"/>
        <v>0.21</v>
      </c>
      <c r="G39" s="198" t="e">
        <f t="shared" si="0"/>
        <v>#DIV/0!</v>
      </c>
      <c r="H39" s="199">
        <f t="shared" si="0"/>
        <v>0</v>
      </c>
      <c r="I39" s="200">
        <f t="shared" si="1"/>
        <v>0</v>
      </c>
      <c r="J39" s="50">
        <v>0.99</v>
      </c>
      <c r="K39" s="27"/>
    </row>
    <row r="40" spans="2:11" ht="19.5" customHeight="1" x14ac:dyDescent="0.25">
      <c r="B40" s="193" t="s">
        <v>167</v>
      </c>
      <c r="C40" s="194">
        <v>0</v>
      </c>
      <c r="D40" s="195">
        <f t="shared" si="2"/>
        <v>0</v>
      </c>
      <c r="E40" s="196">
        <v>0</v>
      </c>
      <c r="F40" s="197">
        <f t="shared" si="3"/>
        <v>0.21</v>
      </c>
      <c r="G40" s="198" t="e">
        <f t="shared" si="0"/>
        <v>#DIV/0!</v>
      </c>
      <c r="H40" s="199">
        <f t="shared" si="0"/>
        <v>0</v>
      </c>
      <c r="I40" s="200">
        <f t="shared" si="1"/>
        <v>0</v>
      </c>
      <c r="J40" s="50">
        <v>0.99</v>
      </c>
      <c r="K40" s="27"/>
    </row>
    <row r="41" spans="2:11" ht="19.5" customHeight="1" x14ac:dyDescent="0.25">
      <c r="B41" s="193" t="s">
        <v>168</v>
      </c>
      <c r="C41" s="194">
        <v>0</v>
      </c>
      <c r="D41" s="195">
        <f>+D40+C41</f>
        <v>0</v>
      </c>
      <c r="E41" s="196">
        <v>0.04</v>
      </c>
      <c r="F41" s="197">
        <f t="shared" si="3"/>
        <v>0.25</v>
      </c>
      <c r="G41" s="198">
        <f>+C41/E41</f>
        <v>0</v>
      </c>
      <c r="H41" s="199">
        <f>+D41/F41</f>
        <v>0</v>
      </c>
      <c r="I41" s="200">
        <f t="shared" si="1"/>
        <v>0</v>
      </c>
      <c r="J41" s="50">
        <v>0.99</v>
      </c>
      <c r="K41" s="27"/>
    </row>
    <row r="42" spans="2:11" ht="54.75" customHeight="1" x14ac:dyDescent="0.25">
      <c r="B42" s="201" t="s">
        <v>169</v>
      </c>
      <c r="C42" s="383" t="s">
        <v>57</v>
      </c>
      <c r="D42" s="383"/>
      <c r="E42" s="383"/>
      <c r="F42" s="383"/>
      <c r="G42" s="383"/>
      <c r="H42" s="383"/>
      <c r="I42" s="384"/>
      <c r="J42" s="28"/>
      <c r="K42" s="28"/>
    </row>
    <row r="43" spans="2:11" ht="29.25" customHeight="1" x14ac:dyDescent="0.25">
      <c r="B43" s="389" t="s">
        <v>170</v>
      </c>
      <c r="C43" s="390"/>
      <c r="D43" s="390"/>
      <c r="E43" s="390"/>
      <c r="F43" s="390"/>
      <c r="G43" s="390"/>
      <c r="H43" s="390"/>
      <c r="I43" s="391"/>
      <c r="J43" s="40"/>
      <c r="K43" s="40"/>
    </row>
    <row r="44" spans="2:11" ht="32.25" customHeight="1" x14ac:dyDescent="0.25">
      <c r="B44" s="397"/>
      <c r="C44" s="398"/>
      <c r="D44" s="398"/>
      <c r="E44" s="398"/>
      <c r="F44" s="398"/>
      <c r="G44" s="398"/>
      <c r="H44" s="398"/>
      <c r="I44" s="399"/>
      <c r="J44" s="40"/>
      <c r="K44" s="40"/>
    </row>
    <row r="45" spans="2:11" ht="32.25" customHeight="1" x14ac:dyDescent="0.25">
      <c r="B45" s="400"/>
      <c r="C45" s="401"/>
      <c r="D45" s="401"/>
      <c r="E45" s="401"/>
      <c r="F45" s="401"/>
      <c r="G45" s="401"/>
      <c r="H45" s="401"/>
      <c r="I45" s="402"/>
      <c r="J45" s="28"/>
      <c r="K45" s="28"/>
    </row>
    <row r="46" spans="2:11" ht="32.25" customHeight="1" x14ac:dyDescent="0.25">
      <c r="B46" s="400"/>
      <c r="C46" s="401"/>
      <c r="D46" s="401"/>
      <c r="E46" s="401"/>
      <c r="F46" s="401"/>
      <c r="G46" s="401"/>
      <c r="H46" s="401"/>
      <c r="I46" s="402"/>
      <c r="J46" s="28"/>
      <c r="K46" s="28"/>
    </row>
    <row r="47" spans="2:11" ht="32.25" customHeight="1" x14ac:dyDescent="0.25">
      <c r="B47" s="400"/>
      <c r="C47" s="401"/>
      <c r="D47" s="401"/>
      <c r="E47" s="401"/>
      <c r="F47" s="401"/>
      <c r="G47" s="401"/>
      <c r="H47" s="401"/>
      <c r="I47" s="402"/>
      <c r="J47" s="28"/>
      <c r="K47" s="28"/>
    </row>
    <row r="48" spans="2:11" ht="32.25" customHeight="1" x14ac:dyDescent="0.25">
      <c r="B48" s="403"/>
      <c r="C48" s="404"/>
      <c r="D48" s="404"/>
      <c r="E48" s="404"/>
      <c r="F48" s="404"/>
      <c r="G48" s="404"/>
      <c r="H48" s="404"/>
      <c r="I48" s="405"/>
      <c r="J48" s="12"/>
      <c r="K48" s="12"/>
    </row>
    <row r="49" spans="2:11" ht="83.25" customHeight="1" x14ac:dyDescent="0.25">
      <c r="B49" s="183" t="s">
        <v>171</v>
      </c>
      <c r="C49" s="383" t="s">
        <v>57</v>
      </c>
      <c r="D49" s="383"/>
      <c r="E49" s="383"/>
      <c r="F49" s="383"/>
      <c r="G49" s="383"/>
      <c r="H49" s="383"/>
      <c r="I49" s="384"/>
      <c r="J49" s="29"/>
      <c r="K49" s="29"/>
    </row>
    <row r="50" spans="2:11" ht="34.5" customHeight="1" x14ac:dyDescent="0.25">
      <c r="B50" s="183" t="s">
        <v>172</v>
      </c>
      <c r="C50" s="367" t="s">
        <v>146</v>
      </c>
      <c r="D50" s="367"/>
      <c r="E50" s="367"/>
      <c r="F50" s="367"/>
      <c r="G50" s="367"/>
      <c r="H50" s="367"/>
      <c r="I50" s="385"/>
      <c r="J50" s="29"/>
      <c r="K50" s="29"/>
    </row>
    <row r="51" spans="2:11" ht="34.5" customHeight="1" x14ac:dyDescent="0.25">
      <c r="B51" s="202" t="s">
        <v>173</v>
      </c>
      <c r="C51" s="386" t="s">
        <v>58</v>
      </c>
      <c r="D51" s="387"/>
      <c r="E51" s="387"/>
      <c r="F51" s="387"/>
      <c r="G51" s="387"/>
      <c r="H51" s="387"/>
      <c r="I51" s="388"/>
      <c r="J51" s="29"/>
      <c r="K51" s="29"/>
    </row>
    <row r="52" spans="2:11" ht="29.25" customHeight="1" x14ac:dyDescent="0.25">
      <c r="B52" s="389" t="s">
        <v>174</v>
      </c>
      <c r="C52" s="390"/>
      <c r="D52" s="390"/>
      <c r="E52" s="390"/>
      <c r="F52" s="390"/>
      <c r="G52" s="390"/>
      <c r="H52" s="390"/>
      <c r="I52" s="391"/>
      <c r="J52" s="29"/>
      <c r="K52" s="29"/>
    </row>
    <row r="53" spans="2:11" ht="33" customHeight="1" x14ac:dyDescent="0.25">
      <c r="B53" s="392" t="s">
        <v>175</v>
      </c>
      <c r="C53" s="203" t="s">
        <v>176</v>
      </c>
      <c r="D53" s="393" t="s">
        <v>177</v>
      </c>
      <c r="E53" s="393"/>
      <c r="F53" s="393"/>
      <c r="G53" s="393" t="s">
        <v>178</v>
      </c>
      <c r="H53" s="393"/>
      <c r="I53" s="394"/>
      <c r="J53" s="30"/>
      <c r="K53" s="30"/>
    </row>
    <row r="54" spans="2:11" ht="31.5" customHeight="1" x14ac:dyDescent="0.25">
      <c r="B54" s="392"/>
      <c r="C54" s="204"/>
      <c r="D54" s="367"/>
      <c r="E54" s="367"/>
      <c r="F54" s="367"/>
      <c r="G54" s="395"/>
      <c r="H54" s="395"/>
      <c r="I54" s="396"/>
      <c r="J54" s="30"/>
      <c r="K54" s="30"/>
    </row>
    <row r="55" spans="2:11" ht="31.5" customHeight="1" x14ac:dyDescent="0.25">
      <c r="B55" s="202" t="s">
        <v>179</v>
      </c>
      <c r="C55" s="379" t="s">
        <v>180</v>
      </c>
      <c r="D55" s="379"/>
      <c r="E55" s="380" t="s">
        <v>181</v>
      </c>
      <c r="F55" s="380"/>
      <c r="G55" s="379" t="s">
        <v>182</v>
      </c>
      <c r="H55" s="379"/>
      <c r="I55" s="381"/>
      <c r="J55" s="31"/>
      <c r="K55" s="31"/>
    </row>
    <row r="56" spans="2:11" ht="31.5" customHeight="1" x14ac:dyDescent="0.25">
      <c r="B56" s="202" t="s">
        <v>183</v>
      </c>
      <c r="C56" s="367" t="s">
        <v>184</v>
      </c>
      <c r="D56" s="367"/>
      <c r="E56" s="382" t="s">
        <v>185</v>
      </c>
      <c r="F56" s="382"/>
      <c r="G56" s="379" t="s">
        <v>186</v>
      </c>
      <c r="H56" s="379"/>
      <c r="I56" s="381"/>
      <c r="J56" s="31"/>
      <c r="K56" s="31"/>
    </row>
    <row r="57" spans="2:11" ht="31.5" customHeight="1" x14ac:dyDescent="0.25">
      <c r="B57" s="202" t="s">
        <v>187</v>
      </c>
      <c r="C57" s="367"/>
      <c r="D57" s="367"/>
      <c r="E57" s="368" t="s">
        <v>188</v>
      </c>
      <c r="F57" s="369"/>
      <c r="G57" s="372"/>
      <c r="H57" s="373"/>
      <c r="I57" s="374"/>
      <c r="J57" s="32"/>
      <c r="K57" s="32"/>
    </row>
    <row r="58" spans="2:11" ht="31.5" customHeight="1" thickBot="1" x14ac:dyDescent="0.3">
      <c r="B58" s="205" t="s">
        <v>189</v>
      </c>
      <c r="C58" s="378"/>
      <c r="D58" s="378"/>
      <c r="E58" s="370"/>
      <c r="F58" s="371"/>
      <c r="G58" s="375"/>
      <c r="H58" s="376"/>
      <c r="I58" s="377"/>
      <c r="J58" s="32"/>
      <c r="K58" s="32"/>
    </row>
    <row r="59" spans="2:11" hidden="1" x14ac:dyDescent="0.25">
      <c r="B59" s="3"/>
      <c r="C59" s="3"/>
      <c r="D59" s="5"/>
      <c r="E59" s="5"/>
      <c r="F59" s="5"/>
      <c r="G59" s="5"/>
      <c r="H59" s="5"/>
      <c r="I59" s="42"/>
      <c r="J59" s="33"/>
      <c r="K59" s="33"/>
    </row>
    <row r="60" spans="2:11" hidden="1" x14ac:dyDescent="0.25">
      <c r="B60" s="43"/>
      <c r="C60" s="44"/>
      <c r="D60" s="44"/>
      <c r="E60" s="45"/>
      <c r="F60" s="45"/>
      <c r="G60" s="46"/>
      <c r="H60" s="47"/>
      <c r="I60" s="44"/>
      <c r="J60" s="34"/>
      <c r="K60" s="34"/>
    </row>
    <row r="61" spans="2:11" hidden="1" x14ac:dyDescent="0.25">
      <c r="B61" s="43"/>
      <c r="C61" s="44"/>
      <c r="D61" s="44"/>
      <c r="E61" s="45"/>
      <c r="F61" s="45"/>
      <c r="G61" s="46"/>
      <c r="H61" s="47"/>
      <c r="I61" s="44"/>
      <c r="J61" s="34"/>
      <c r="K61" s="34"/>
    </row>
    <row r="62" spans="2:11" hidden="1" x14ac:dyDescent="0.25">
      <c r="B62" s="43"/>
      <c r="C62" s="44"/>
      <c r="D62" s="44"/>
      <c r="E62" s="45"/>
      <c r="F62" s="45"/>
      <c r="G62" s="46"/>
      <c r="H62" s="47"/>
      <c r="I62" s="44"/>
      <c r="J62" s="34"/>
      <c r="K62" s="34"/>
    </row>
    <row r="63" spans="2:11" hidden="1" x14ac:dyDescent="0.25">
      <c r="B63" s="43"/>
      <c r="C63" s="44"/>
      <c r="D63" s="44"/>
      <c r="E63" s="45"/>
      <c r="F63" s="45"/>
      <c r="G63" s="46"/>
      <c r="H63" s="47"/>
      <c r="I63" s="44"/>
      <c r="J63" s="34"/>
      <c r="K63" s="34"/>
    </row>
    <row r="64" spans="2:11" hidden="1" x14ac:dyDescent="0.25">
      <c r="B64" s="43"/>
      <c r="C64" s="44"/>
      <c r="D64" s="44"/>
      <c r="E64" s="45"/>
      <c r="F64" s="45"/>
      <c r="G64" s="46"/>
      <c r="H64" s="47"/>
      <c r="I64" s="44"/>
      <c r="J64" s="34"/>
      <c r="K64" s="34"/>
    </row>
    <row r="65" spans="2:11" hidden="1" x14ac:dyDescent="0.25">
      <c r="B65" s="43"/>
      <c r="C65" s="44"/>
      <c r="D65" s="44"/>
      <c r="E65" s="45"/>
      <c r="F65" s="45"/>
      <c r="G65" s="46"/>
      <c r="H65" s="47"/>
      <c r="I65" s="44"/>
      <c r="J65" s="34"/>
      <c r="K65" s="34"/>
    </row>
    <row r="66" spans="2:11" hidden="1" x14ac:dyDescent="0.25">
      <c r="B66" s="43"/>
      <c r="C66" s="44"/>
      <c r="D66" s="44"/>
      <c r="E66" s="45"/>
      <c r="F66" s="45"/>
      <c r="G66" s="46"/>
      <c r="H66" s="47"/>
      <c r="I66" s="44"/>
      <c r="J66" s="34"/>
      <c r="K66" s="34"/>
    </row>
    <row r="67" spans="2:11" hidden="1" x14ac:dyDescent="0.25">
      <c r="B67" s="43"/>
      <c r="C67" s="44"/>
      <c r="D67" s="44"/>
      <c r="E67" s="45"/>
      <c r="F67" s="45"/>
      <c r="G67" s="46"/>
      <c r="H67" s="47"/>
      <c r="I67" s="44"/>
      <c r="J67" s="34"/>
      <c r="K67" s="34"/>
    </row>
    <row r="68" spans="2:11" x14ac:dyDescent="0.25">
      <c r="B68" s="48"/>
      <c r="C68" s="3"/>
      <c r="D68" s="3"/>
      <c r="E68" s="3"/>
      <c r="F68" s="3"/>
      <c r="G68" s="49"/>
      <c r="H68" s="3"/>
      <c r="I68" s="3"/>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44140625" defaultRowHeight="14.4" x14ac:dyDescent="0.3"/>
  <cols>
    <col min="1" max="1" width="1.33203125" customWidth="1"/>
    <col min="2" max="2" width="20.109375" style="38" customWidth="1"/>
    <col min="3" max="3" width="34.44140625" customWidth="1"/>
    <col min="4" max="4" width="14.33203125" customWidth="1"/>
    <col min="5" max="5" width="6.6640625" customWidth="1"/>
    <col min="6" max="6" width="31" customWidth="1"/>
    <col min="7" max="8" width="16.109375" customWidth="1"/>
    <col min="9" max="9" width="16.33203125" customWidth="1"/>
    <col min="10" max="10" width="15.6640625" customWidth="1"/>
    <col min="11" max="11" width="54.44140625" customWidth="1"/>
    <col min="13" max="13" width="17.6640625" bestFit="1" customWidth="1"/>
    <col min="108" max="108" width="11.44140625" customWidth="1"/>
    <col min="198" max="198" width="1.44140625" customWidth="1"/>
  </cols>
  <sheetData>
    <row r="1" spans="2:13" ht="18" customHeight="1" thickBot="1" x14ac:dyDescent="0.35">
      <c r="B1" s="484"/>
      <c r="C1" s="487" t="s">
        <v>0</v>
      </c>
      <c r="D1" s="488"/>
      <c r="E1" s="488"/>
      <c r="F1" s="488"/>
      <c r="G1" s="488"/>
      <c r="H1" s="489"/>
      <c r="I1" s="490"/>
      <c r="J1" s="491"/>
    </row>
    <row r="2" spans="2:13" ht="18" customHeight="1" thickBot="1" x14ac:dyDescent="0.35">
      <c r="B2" s="485"/>
      <c r="C2" s="487" t="s">
        <v>1</v>
      </c>
      <c r="D2" s="488"/>
      <c r="E2" s="488"/>
      <c r="F2" s="488"/>
      <c r="G2" s="488"/>
      <c r="H2" s="489"/>
      <c r="I2" s="492"/>
      <c r="J2" s="493"/>
    </row>
    <row r="3" spans="2:13" ht="18" customHeight="1" thickBot="1" x14ac:dyDescent="0.35">
      <c r="B3" s="485"/>
      <c r="C3" s="487" t="s">
        <v>190</v>
      </c>
      <c r="D3" s="488"/>
      <c r="E3" s="488"/>
      <c r="F3" s="488"/>
      <c r="G3" s="488"/>
      <c r="H3" s="489"/>
      <c r="I3" s="492"/>
      <c r="J3" s="493"/>
    </row>
    <row r="4" spans="2:13" ht="18" customHeight="1" thickBot="1" x14ac:dyDescent="0.35">
      <c r="B4" s="486"/>
      <c r="C4" s="487" t="s">
        <v>191</v>
      </c>
      <c r="D4" s="488"/>
      <c r="E4" s="488"/>
      <c r="F4" s="489"/>
      <c r="G4" s="496" t="s">
        <v>192</v>
      </c>
      <c r="H4" s="497"/>
      <c r="I4" s="494"/>
      <c r="J4" s="495"/>
    </row>
    <row r="5" spans="2:13" ht="18" customHeight="1" thickBot="1" x14ac:dyDescent="0.35">
      <c r="B5" s="35"/>
      <c r="C5" s="10"/>
      <c r="D5" s="10"/>
      <c r="E5" s="10"/>
      <c r="F5" s="10"/>
      <c r="G5" s="10"/>
      <c r="H5" s="10"/>
      <c r="I5" s="10"/>
      <c r="J5" s="36"/>
    </row>
    <row r="6" spans="2:13" ht="51.75" customHeight="1" thickBot="1" x14ac:dyDescent="0.35">
      <c r="B6" s="1" t="s">
        <v>193</v>
      </c>
      <c r="C6" s="498" t="s">
        <v>39</v>
      </c>
      <c r="D6" s="499"/>
      <c r="E6" s="500"/>
      <c r="F6" s="37"/>
      <c r="G6" s="10"/>
      <c r="H6" s="10"/>
      <c r="I6" s="10"/>
      <c r="J6" s="36"/>
    </row>
    <row r="7" spans="2:13" ht="32.25" customHeight="1" thickBot="1" x14ac:dyDescent="0.35">
      <c r="B7" s="2" t="s">
        <v>194</v>
      </c>
      <c r="C7" s="498" t="s">
        <v>86</v>
      </c>
      <c r="D7" s="499"/>
      <c r="E7" s="500"/>
      <c r="F7" s="37"/>
      <c r="G7" s="10"/>
      <c r="H7" s="10"/>
      <c r="I7" s="10"/>
      <c r="J7" s="36"/>
    </row>
    <row r="8" spans="2:13" ht="32.25" customHeight="1" thickBot="1" x14ac:dyDescent="0.35">
      <c r="B8" s="2" t="s">
        <v>195</v>
      </c>
      <c r="C8" s="498" t="s">
        <v>196</v>
      </c>
      <c r="D8" s="499"/>
      <c r="E8" s="500"/>
      <c r="F8" s="4"/>
      <c r="G8" s="10"/>
      <c r="H8" s="10"/>
      <c r="I8" s="10"/>
      <c r="J8" s="36"/>
    </row>
    <row r="9" spans="2:13" ht="33.75" customHeight="1" thickBot="1" x14ac:dyDescent="0.35">
      <c r="B9" s="2" t="s">
        <v>197</v>
      </c>
      <c r="C9" s="498" t="s">
        <v>186</v>
      </c>
      <c r="D9" s="499"/>
      <c r="E9" s="500"/>
      <c r="F9" s="37"/>
      <c r="G9" s="10"/>
      <c r="H9" s="10"/>
      <c r="I9" s="10"/>
      <c r="J9" s="36"/>
    </row>
    <row r="10" spans="2:13" ht="32.25" customHeight="1" thickBot="1" x14ac:dyDescent="0.35">
      <c r="B10" s="2" t="s">
        <v>198</v>
      </c>
      <c r="C10" s="498" t="s">
        <v>101</v>
      </c>
      <c r="D10" s="499"/>
      <c r="E10" s="500"/>
    </row>
    <row r="12" spans="2:13" x14ac:dyDescent="0.3">
      <c r="B12" s="477" t="s">
        <v>199</v>
      </c>
      <c r="C12" s="478"/>
      <c r="D12" s="478"/>
      <c r="E12" s="478"/>
      <c r="F12" s="478"/>
      <c r="G12" s="478"/>
      <c r="H12" s="479"/>
      <c r="I12" s="469" t="s">
        <v>200</v>
      </c>
      <c r="J12" s="470"/>
      <c r="K12" s="470"/>
    </row>
    <row r="13" spans="2:13" s="39" customFormat="1" ht="30" customHeight="1" x14ac:dyDescent="0.3">
      <c r="B13" s="471" t="s">
        <v>201</v>
      </c>
      <c r="C13" s="471" t="s">
        <v>202</v>
      </c>
      <c r="D13" s="471" t="s">
        <v>203</v>
      </c>
      <c r="E13" s="471" t="s">
        <v>204</v>
      </c>
      <c r="F13" s="471" t="s">
        <v>205</v>
      </c>
      <c r="G13" s="471" t="s">
        <v>206</v>
      </c>
      <c r="H13" s="471" t="s">
        <v>207</v>
      </c>
      <c r="I13" s="473" t="s">
        <v>208</v>
      </c>
      <c r="J13" s="475" t="s">
        <v>209</v>
      </c>
      <c r="K13" s="468" t="s">
        <v>210</v>
      </c>
    </row>
    <row r="14" spans="2:13" s="39" customFormat="1" x14ac:dyDescent="0.3">
      <c r="B14" s="472"/>
      <c r="C14" s="472"/>
      <c r="D14" s="472"/>
      <c r="E14" s="472"/>
      <c r="F14" s="472"/>
      <c r="G14" s="472"/>
      <c r="H14" s="472"/>
      <c r="I14" s="474"/>
      <c r="J14" s="476"/>
      <c r="K14" s="468"/>
    </row>
    <row r="15" spans="2:13" s="39" customFormat="1" ht="100.8" x14ac:dyDescent="0.3">
      <c r="B15" s="61">
        <v>1</v>
      </c>
      <c r="C15" s="206" t="s">
        <v>211</v>
      </c>
      <c r="D15" s="207">
        <v>0.19</v>
      </c>
      <c r="E15" s="208"/>
      <c r="F15" s="209" t="s">
        <v>212</v>
      </c>
      <c r="G15" s="210">
        <v>0.19</v>
      </c>
      <c r="H15" s="211">
        <v>43160</v>
      </c>
      <c r="I15" s="212">
        <v>0.19</v>
      </c>
      <c r="J15" s="213">
        <v>43132</v>
      </c>
      <c r="K15" s="214"/>
      <c r="M15" s="65"/>
    </row>
    <row r="16" spans="2:13" ht="57.6" x14ac:dyDescent="0.3">
      <c r="B16" s="215">
        <v>2</v>
      </c>
      <c r="C16" s="216" t="s">
        <v>213</v>
      </c>
      <c r="D16" s="207">
        <v>0.02</v>
      </c>
      <c r="E16" s="208"/>
      <c r="F16" s="209" t="s">
        <v>214</v>
      </c>
      <c r="G16" s="210">
        <v>0.02</v>
      </c>
      <c r="H16" s="211">
        <v>43344</v>
      </c>
      <c r="I16" s="212"/>
      <c r="J16" s="213"/>
      <c r="K16" s="214"/>
      <c r="M16" s="66"/>
    </row>
    <row r="17" spans="2:11" ht="72" x14ac:dyDescent="0.3">
      <c r="B17" s="217">
        <v>3</v>
      </c>
      <c r="C17" s="218" t="s">
        <v>215</v>
      </c>
      <c r="D17" s="207">
        <v>0.04</v>
      </c>
      <c r="E17" s="208"/>
      <c r="F17" s="209" t="s">
        <v>216</v>
      </c>
      <c r="G17" s="210">
        <v>0.04</v>
      </c>
      <c r="H17" s="211">
        <v>43435</v>
      </c>
      <c r="I17" s="212"/>
      <c r="J17" s="213"/>
      <c r="K17" s="214"/>
    </row>
    <row r="18" spans="2:11" x14ac:dyDescent="0.3">
      <c r="B18" s="480" t="s">
        <v>217</v>
      </c>
      <c r="C18" s="481"/>
      <c r="D18" s="219">
        <f>SUM(D15:D17)</f>
        <v>0.25</v>
      </c>
      <c r="E18" s="482" t="s">
        <v>217</v>
      </c>
      <c r="F18" s="483"/>
      <c r="G18" s="219">
        <f>SUM(G15:G17)</f>
        <v>0.25</v>
      </c>
      <c r="H18" s="220"/>
      <c r="I18" s="221">
        <f>SUM(I15:I17)</f>
        <v>0.19</v>
      </c>
      <c r="J18" s="222"/>
      <c r="K18" s="222"/>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L60"/>
  <sheetViews>
    <sheetView topLeftCell="A40" zoomScale="85" zoomScaleNormal="85" zoomScalePageLayoutView="85" workbookViewId="0">
      <selection activeCell="C45" sqref="C45:I47"/>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15.6640625" style="83" customWidth="1"/>
    <col min="5" max="5" width="23.44140625" style="83" customWidth="1"/>
    <col min="6" max="6" width="20.6640625" style="83" customWidth="1"/>
    <col min="7" max="7" width="19.6640625" style="114" customWidth="1"/>
    <col min="8" max="8" width="19.6640625" style="83" customWidth="1"/>
    <col min="9" max="9" width="16.33203125" style="83" customWidth="1"/>
    <col min="10" max="10" width="22.44140625" style="83" customWidth="1"/>
    <col min="11" max="12" width="10.6640625" style="81"/>
    <col min="13" max="16384" width="10.6640625" style="83"/>
  </cols>
  <sheetData>
    <row r="1" spans="1:10" ht="37.5" customHeight="1" x14ac:dyDescent="0.25">
      <c r="A1" s="128"/>
      <c r="B1" s="579"/>
      <c r="C1" s="582" t="s">
        <v>1</v>
      </c>
      <c r="D1" s="582"/>
      <c r="E1" s="582"/>
      <c r="F1" s="582"/>
      <c r="G1" s="582"/>
      <c r="H1" s="582"/>
      <c r="I1" s="583"/>
      <c r="J1" s="80"/>
    </row>
    <row r="2" spans="1:10" ht="37.5" customHeight="1" x14ac:dyDescent="0.25">
      <c r="A2" s="129"/>
      <c r="B2" s="580"/>
      <c r="C2" s="586" t="s">
        <v>218</v>
      </c>
      <c r="D2" s="586"/>
      <c r="E2" s="586"/>
      <c r="F2" s="586"/>
      <c r="G2" s="586"/>
      <c r="H2" s="586"/>
      <c r="I2" s="584"/>
      <c r="J2" s="80"/>
    </row>
    <row r="3" spans="1:10" ht="37.5" customHeight="1" thickBot="1" x14ac:dyDescent="0.3">
      <c r="A3" s="129"/>
      <c r="B3" s="581"/>
      <c r="C3" s="587" t="s">
        <v>219</v>
      </c>
      <c r="D3" s="587"/>
      <c r="E3" s="587"/>
      <c r="F3" s="587" t="s">
        <v>220</v>
      </c>
      <c r="G3" s="587"/>
      <c r="H3" s="587"/>
      <c r="I3" s="585"/>
      <c r="J3" s="80"/>
    </row>
    <row r="4" spans="1:10" ht="23.25" customHeight="1" x14ac:dyDescent="0.25">
      <c r="A4" s="129"/>
      <c r="B4" s="575" t="s">
        <v>221</v>
      </c>
      <c r="C4" s="576"/>
      <c r="D4" s="576"/>
      <c r="E4" s="576"/>
      <c r="F4" s="576"/>
      <c r="G4" s="576"/>
      <c r="H4" s="576"/>
      <c r="I4" s="577"/>
      <c r="J4" s="84"/>
    </row>
    <row r="5" spans="1:10" ht="24" customHeight="1" x14ac:dyDescent="0.25">
      <c r="A5" s="129"/>
      <c r="B5" s="512" t="s">
        <v>222</v>
      </c>
      <c r="C5" s="513"/>
      <c r="D5" s="513"/>
      <c r="E5" s="513"/>
      <c r="F5" s="513"/>
      <c r="G5" s="513"/>
      <c r="H5" s="513"/>
      <c r="I5" s="514"/>
      <c r="J5" s="85"/>
    </row>
    <row r="6" spans="1:10" ht="30.75" customHeight="1" x14ac:dyDescent="0.25">
      <c r="A6" s="129"/>
      <c r="B6" s="118" t="s">
        <v>223</v>
      </c>
      <c r="C6" s="134">
        <v>1</v>
      </c>
      <c r="D6" s="578" t="s">
        <v>224</v>
      </c>
      <c r="E6" s="578"/>
      <c r="F6" s="556" t="s">
        <v>225</v>
      </c>
      <c r="G6" s="556"/>
      <c r="H6" s="556"/>
      <c r="I6" s="557"/>
      <c r="J6" s="87"/>
    </row>
    <row r="7" spans="1:10" ht="30.75" customHeight="1" x14ac:dyDescent="0.25">
      <c r="A7" s="129"/>
      <c r="B7" s="118" t="s">
        <v>226</v>
      </c>
      <c r="C7" s="134" t="s">
        <v>84</v>
      </c>
      <c r="D7" s="578" t="s">
        <v>227</v>
      </c>
      <c r="E7" s="578"/>
      <c r="F7" s="549" t="s">
        <v>228</v>
      </c>
      <c r="G7" s="549"/>
      <c r="H7" s="223" t="s">
        <v>229</v>
      </c>
      <c r="I7" s="136" t="s">
        <v>84</v>
      </c>
      <c r="J7" s="88"/>
    </row>
    <row r="8" spans="1:10" ht="30.75" customHeight="1" x14ac:dyDescent="0.25">
      <c r="A8" s="129"/>
      <c r="B8" s="118" t="s">
        <v>230</v>
      </c>
      <c r="C8" s="556" t="s">
        <v>231</v>
      </c>
      <c r="D8" s="556"/>
      <c r="E8" s="556"/>
      <c r="F8" s="556"/>
      <c r="G8" s="138" t="s">
        <v>232</v>
      </c>
      <c r="H8" s="568">
        <v>7550</v>
      </c>
      <c r="I8" s="569"/>
      <c r="J8" s="89"/>
    </row>
    <row r="9" spans="1:10" ht="30.75" customHeight="1" x14ac:dyDescent="0.25">
      <c r="A9" s="129"/>
      <c r="B9" s="118" t="s">
        <v>68</v>
      </c>
      <c r="C9" s="570" t="s">
        <v>81</v>
      </c>
      <c r="D9" s="570"/>
      <c r="E9" s="570"/>
      <c r="F9" s="570"/>
      <c r="G9" s="138" t="s">
        <v>233</v>
      </c>
      <c r="H9" s="571" t="s">
        <v>234</v>
      </c>
      <c r="I9" s="572"/>
      <c r="J9" s="90"/>
    </row>
    <row r="10" spans="1:10" ht="39" customHeight="1" x14ac:dyDescent="0.25">
      <c r="A10" s="129"/>
      <c r="B10" s="118" t="s">
        <v>235</v>
      </c>
      <c r="C10" s="556" t="s">
        <v>236</v>
      </c>
      <c r="D10" s="556"/>
      <c r="E10" s="556"/>
      <c r="F10" s="556"/>
      <c r="G10" s="556"/>
      <c r="H10" s="556"/>
      <c r="I10" s="557"/>
      <c r="J10" s="92"/>
    </row>
    <row r="11" spans="1:10" ht="30.75" customHeight="1" x14ac:dyDescent="0.25">
      <c r="A11" s="129"/>
      <c r="B11" s="118" t="s">
        <v>237</v>
      </c>
      <c r="C11" s="556" t="s">
        <v>238</v>
      </c>
      <c r="D11" s="556"/>
      <c r="E11" s="556"/>
      <c r="F11" s="556"/>
      <c r="G11" s="556"/>
      <c r="H11" s="556"/>
      <c r="I11" s="557"/>
      <c r="J11" s="88"/>
    </row>
    <row r="12" spans="1:10" ht="30.75" customHeight="1" x14ac:dyDescent="0.25">
      <c r="A12" s="129"/>
      <c r="B12" s="118" t="s">
        <v>239</v>
      </c>
      <c r="C12" s="547" t="s">
        <v>240</v>
      </c>
      <c r="D12" s="547"/>
      <c r="E12" s="547"/>
      <c r="F12" s="547"/>
      <c r="G12" s="138" t="s">
        <v>241</v>
      </c>
      <c r="H12" s="549" t="s">
        <v>106</v>
      </c>
      <c r="I12" s="573"/>
      <c r="J12" s="88"/>
    </row>
    <row r="13" spans="1:10" ht="30.75" customHeight="1" x14ac:dyDescent="0.25">
      <c r="A13" s="129"/>
      <c r="B13" s="118" t="s">
        <v>242</v>
      </c>
      <c r="C13" s="574" t="s">
        <v>243</v>
      </c>
      <c r="D13" s="574"/>
      <c r="E13" s="574"/>
      <c r="F13" s="574"/>
      <c r="G13" s="138" t="s">
        <v>244</v>
      </c>
      <c r="H13" s="549" t="s">
        <v>44</v>
      </c>
      <c r="I13" s="573"/>
      <c r="J13" s="88"/>
    </row>
    <row r="14" spans="1:10" ht="64.5" customHeight="1" x14ac:dyDescent="0.25">
      <c r="A14" s="129"/>
      <c r="B14" s="118" t="s">
        <v>245</v>
      </c>
      <c r="C14" s="547" t="s">
        <v>246</v>
      </c>
      <c r="D14" s="547"/>
      <c r="E14" s="547"/>
      <c r="F14" s="547"/>
      <c r="G14" s="547"/>
      <c r="H14" s="547"/>
      <c r="I14" s="548"/>
      <c r="J14" s="92"/>
    </row>
    <row r="15" spans="1:10" ht="30.75" customHeight="1" x14ac:dyDescent="0.25">
      <c r="A15" s="129"/>
      <c r="B15" s="118" t="s">
        <v>247</v>
      </c>
      <c r="C15" s="547" t="s">
        <v>248</v>
      </c>
      <c r="D15" s="547"/>
      <c r="E15" s="547"/>
      <c r="F15" s="547"/>
      <c r="G15" s="547"/>
      <c r="H15" s="547"/>
      <c r="I15" s="548"/>
      <c r="J15" s="93"/>
    </row>
    <row r="16" spans="1:10" ht="20.25" customHeight="1" x14ac:dyDescent="0.25">
      <c r="A16" s="129"/>
      <c r="B16" s="118" t="s">
        <v>249</v>
      </c>
      <c r="C16" s="547" t="s">
        <v>250</v>
      </c>
      <c r="D16" s="547"/>
      <c r="E16" s="547"/>
      <c r="F16" s="547"/>
      <c r="G16" s="547"/>
      <c r="H16" s="547"/>
      <c r="I16" s="548"/>
      <c r="J16" s="94"/>
    </row>
    <row r="17" spans="1:10" ht="30.75" customHeight="1" x14ac:dyDescent="0.25">
      <c r="A17" s="129"/>
      <c r="B17" s="118" t="s">
        <v>251</v>
      </c>
      <c r="C17" s="549" t="s">
        <v>252</v>
      </c>
      <c r="D17" s="550"/>
      <c r="E17" s="550"/>
      <c r="F17" s="550"/>
      <c r="G17" s="550"/>
      <c r="H17" s="550"/>
      <c r="I17" s="551"/>
      <c r="J17" s="95"/>
    </row>
    <row r="18" spans="1:10" ht="18" customHeight="1" x14ac:dyDescent="0.25">
      <c r="A18" s="129"/>
      <c r="B18" s="552" t="s">
        <v>253</v>
      </c>
      <c r="C18" s="553" t="s">
        <v>254</v>
      </c>
      <c r="D18" s="553"/>
      <c r="E18" s="553"/>
      <c r="F18" s="554" t="s">
        <v>255</v>
      </c>
      <c r="G18" s="554"/>
      <c r="H18" s="554"/>
      <c r="I18" s="555"/>
      <c r="J18" s="96"/>
    </row>
    <row r="19" spans="1:10" ht="39.75" customHeight="1" x14ac:dyDescent="0.25">
      <c r="A19" s="129"/>
      <c r="B19" s="552"/>
      <c r="C19" s="556" t="s">
        <v>256</v>
      </c>
      <c r="D19" s="556"/>
      <c r="E19" s="556"/>
      <c r="F19" s="556" t="s">
        <v>257</v>
      </c>
      <c r="G19" s="556"/>
      <c r="H19" s="556"/>
      <c r="I19" s="557"/>
      <c r="J19" s="94"/>
    </row>
    <row r="20" spans="1:10" ht="39.75" customHeight="1" x14ac:dyDescent="0.25">
      <c r="A20" s="129"/>
      <c r="B20" s="118" t="s">
        <v>258</v>
      </c>
      <c r="C20" s="558" t="s">
        <v>252</v>
      </c>
      <c r="D20" s="559"/>
      <c r="E20" s="560"/>
      <c r="F20" s="561" t="s">
        <v>252</v>
      </c>
      <c r="G20" s="561"/>
      <c r="H20" s="561"/>
      <c r="I20" s="562"/>
      <c r="J20" s="88"/>
    </row>
    <row r="21" spans="1:10" ht="106.2" customHeight="1" x14ac:dyDescent="0.25">
      <c r="A21" s="129"/>
      <c r="B21" s="118" t="s">
        <v>259</v>
      </c>
      <c r="C21" s="563" t="s">
        <v>260</v>
      </c>
      <c r="D21" s="564"/>
      <c r="E21" s="565"/>
      <c r="F21" s="521" t="s">
        <v>261</v>
      </c>
      <c r="G21" s="522"/>
      <c r="H21" s="522"/>
      <c r="I21" s="523"/>
      <c r="J21" s="93"/>
    </row>
    <row r="22" spans="1:10" ht="23.25" customHeight="1" x14ac:dyDescent="0.25">
      <c r="A22" s="129"/>
      <c r="B22" s="118" t="s">
        <v>262</v>
      </c>
      <c r="C22" s="542">
        <v>44562</v>
      </c>
      <c r="D22" s="566"/>
      <c r="E22" s="567"/>
      <c r="F22" s="135" t="s">
        <v>263</v>
      </c>
      <c r="G22" s="224">
        <v>0.1</v>
      </c>
      <c r="H22" s="135" t="s">
        <v>264</v>
      </c>
      <c r="I22" s="225">
        <v>0.1</v>
      </c>
      <c r="J22" s="98"/>
    </row>
    <row r="23" spans="1:10" ht="27" customHeight="1" x14ac:dyDescent="0.25">
      <c r="A23" s="129"/>
      <c r="B23" s="118" t="s">
        <v>265</v>
      </c>
      <c r="C23" s="542">
        <v>44926</v>
      </c>
      <c r="D23" s="522"/>
      <c r="E23" s="543"/>
      <c r="F23" s="135" t="s">
        <v>266</v>
      </c>
      <c r="G23" s="544">
        <v>0.4</v>
      </c>
      <c r="H23" s="545"/>
      <c r="I23" s="546"/>
      <c r="J23" s="99"/>
    </row>
    <row r="24" spans="1:10" ht="30.75" customHeight="1" x14ac:dyDescent="0.25">
      <c r="A24" s="129"/>
      <c r="B24" s="226" t="s">
        <v>267</v>
      </c>
      <c r="C24" s="518" t="s">
        <v>268</v>
      </c>
      <c r="D24" s="519"/>
      <c r="E24" s="520"/>
      <c r="F24" s="227" t="s">
        <v>269</v>
      </c>
      <c r="G24" s="521" t="s">
        <v>46</v>
      </c>
      <c r="H24" s="522"/>
      <c r="I24" s="523"/>
      <c r="J24" s="96"/>
    </row>
    <row r="25" spans="1:10" ht="22.5" customHeight="1" x14ac:dyDescent="0.25">
      <c r="A25" s="129"/>
      <c r="B25" s="512" t="s">
        <v>270</v>
      </c>
      <c r="C25" s="513"/>
      <c r="D25" s="513"/>
      <c r="E25" s="513"/>
      <c r="F25" s="513"/>
      <c r="G25" s="513"/>
      <c r="H25" s="513"/>
      <c r="I25" s="514"/>
      <c r="J25" s="85"/>
    </row>
    <row r="26" spans="1:10" ht="43.5" customHeight="1" x14ac:dyDescent="0.25">
      <c r="A26" s="129"/>
      <c r="B26" s="100" t="s">
        <v>148</v>
      </c>
      <c r="C26" s="138" t="s">
        <v>271</v>
      </c>
      <c r="D26" s="138" t="s">
        <v>272</v>
      </c>
      <c r="E26" s="139" t="s">
        <v>273</v>
      </c>
      <c r="F26" s="138" t="s">
        <v>274</v>
      </c>
      <c r="G26" s="138" t="s">
        <v>275</v>
      </c>
      <c r="H26" s="139" t="s">
        <v>276</v>
      </c>
      <c r="I26" s="140" t="s">
        <v>277</v>
      </c>
      <c r="J26" s="94"/>
    </row>
    <row r="27" spans="1:10" ht="15.45" customHeight="1" x14ac:dyDescent="0.25">
      <c r="A27" s="129"/>
      <c r="B27" s="100" t="s">
        <v>278</v>
      </c>
      <c r="C27" s="228">
        <v>0</v>
      </c>
      <c r="D27" s="228">
        <v>0</v>
      </c>
      <c r="E27" s="229">
        <f>IF(OR(C27=0,C27=""),0,D27/C27)</f>
        <v>0</v>
      </c>
      <c r="F27" s="539">
        <f>SUM(C27:C38)</f>
        <v>0.4</v>
      </c>
      <c r="G27" s="539">
        <f>SUM(D27:D38)</f>
        <v>0.14752000000000001</v>
      </c>
      <c r="H27" s="229">
        <f>+(D27*100%)/$G$23</f>
        <v>0</v>
      </c>
      <c r="I27" s="536">
        <f>G27+I22</f>
        <v>0.24752000000000002</v>
      </c>
      <c r="J27" s="94"/>
    </row>
    <row r="28" spans="1:10" ht="15.45" customHeight="1" x14ac:dyDescent="0.25">
      <c r="A28" s="129"/>
      <c r="B28" s="100" t="s">
        <v>158</v>
      </c>
      <c r="C28" s="228">
        <v>0</v>
      </c>
      <c r="D28" s="228">
        <v>0</v>
      </c>
      <c r="E28" s="229">
        <f t="shared" ref="E28:E38" si="0">IF(OR(C28=0,C28=""),0,D28/C28)</f>
        <v>0</v>
      </c>
      <c r="F28" s="540"/>
      <c r="G28" s="540"/>
      <c r="H28" s="229">
        <f>+IF(D28="","",((D28*100%)/$G$23)+H27)</f>
        <v>0</v>
      </c>
      <c r="I28" s="537"/>
      <c r="J28" s="94"/>
    </row>
    <row r="29" spans="1:10" ht="15.45" customHeight="1" x14ac:dyDescent="0.25">
      <c r="A29" s="129"/>
      <c r="B29" s="100" t="s">
        <v>159</v>
      </c>
      <c r="C29" s="228">
        <f>6.42%*$G$23</f>
        <v>2.5679999999999998E-2</v>
      </c>
      <c r="D29" s="228">
        <f>6.42%*$G$23</f>
        <v>2.5679999999999998E-2</v>
      </c>
      <c r="E29" s="229">
        <f t="shared" si="0"/>
        <v>1</v>
      </c>
      <c r="F29" s="540"/>
      <c r="G29" s="540"/>
      <c r="H29" s="229">
        <f>+IF(D29="","",((D29*100%)/$G$23)+H28)</f>
        <v>6.4199999999999993E-2</v>
      </c>
      <c r="I29" s="537"/>
      <c r="J29" s="94"/>
    </row>
    <row r="30" spans="1:10" ht="15.45" customHeight="1" x14ac:dyDescent="0.25">
      <c r="A30" s="129"/>
      <c r="B30" s="100" t="s">
        <v>160</v>
      </c>
      <c r="C30" s="228">
        <f>6.42%*$G$23</f>
        <v>2.5679999999999998E-2</v>
      </c>
      <c r="D30" s="228">
        <f>6.42%*$G$23</f>
        <v>2.5679999999999998E-2</v>
      </c>
      <c r="E30" s="229">
        <f t="shared" si="0"/>
        <v>1</v>
      </c>
      <c r="F30" s="540"/>
      <c r="G30" s="540"/>
      <c r="H30" s="229">
        <f t="shared" ref="H30:H38" si="1">+IF(D30="","",((D30*100%)/$G$23)+H29)</f>
        <v>0.12839999999999999</v>
      </c>
      <c r="I30" s="537"/>
      <c r="J30" s="94"/>
    </row>
    <row r="31" spans="1:10" ht="15.45" customHeight="1" x14ac:dyDescent="0.25">
      <c r="A31" s="129"/>
      <c r="B31" s="100" t="s">
        <v>161</v>
      </c>
      <c r="C31" s="228">
        <f>24.04%*$G$23</f>
        <v>9.6160000000000009E-2</v>
      </c>
      <c r="D31" s="228">
        <f>24.04%*$G$23</f>
        <v>9.6160000000000009E-2</v>
      </c>
      <c r="E31" s="229">
        <f t="shared" si="0"/>
        <v>1</v>
      </c>
      <c r="F31" s="540"/>
      <c r="G31" s="540"/>
      <c r="H31" s="229">
        <f t="shared" si="1"/>
        <v>0.36880000000000002</v>
      </c>
      <c r="I31" s="537"/>
      <c r="J31" s="94"/>
    </row>
    <row r="32" spans="1:10" ht="15.45" customHeight="1" x14ac:dyDescent="0.25">
      <c r="A32" s="129"/>
      <c r="B32" s="100" t="s">
        <v>162</v>
      </c>
      <c r="C32" s="228">
        <f>21.44%*G23</f>
        <v>8.5760000000000003E-2</v>
      </c>
      <c r="D32" s="228">
        <v>0</v>
      </c>
      <c r="E32" s="229">
        <f t="shared" si="0"/>
        <v>0</v>
      </c>
      <c r="F32" s="540"/>
      <c r="G32" s="540"/>
      <c r="H32" s="229">
        <f t="shared" si="1"/>
        <v>0.36880000000000002</v>
      </c>
      <c r="I32" s="537"/>
      <c r="J32" s="94"/>
    </row>
    <row r="33" spans="1:10" ht="19.5" customHeight="1" x14ac:dyDescent="0.25">
      <c r="A33" s="129"/>
      <c r="B33" s="100" t="s">
        <v>163</v>
      </c>
      <c r="C33" s="228">
        <f>4.94%*$G$23</f>
        <v>1.9760000000000003E-2</v>
      </c>
      <c r="D33" s="228">
        <v>0</v>
      </c>
      <c r="E33" s="229">
        <f t="shared" si="0"/>
        <v>0</v>
      </c>
      <c r="F33" s="540"/>
      <c r="G33" s="540"/>
      <c r="H33" s="229">
        <f t="shared" si="1"/>
        <v>0.36880000000000002</v>
      </c>
      <c r="I33" s="537"/>
      <c r="J33" s="102"/>
    </row>
    <row r="34" spans="1:10" ht="19.5" customHeight="1" x14ac:dyDescent="0.25">
      <c r="A34" s="129"/>
      <c r="B34" s="100" t="s">
        <v>164</v>
      </c>
      <c r="C34" s="228">
        <f>4.94%*$G$23</f>
        <v>1.9760000000000003E-2</v>
      </c>
      <c r="D34" s="228">
        <v>0</v>
      </c>
      <c r="E34" s="229">
        <f t="shared" si="0"/>
        <v>0</v>
      </c>
      <c r="F34" s="540"/>
      <c r="G34" s="540"/>
      <c r="H34" s="229">
        <f t="shared" si="1"/>
        <v>0.36880000000000002</v>
      </c>
      <c r="I34" s="537"/>
      <c r="J34" s="102"/>
    </row>
    <row r="35" spans="1:10" ht="19.5" customHeight="1" x14ac:dyDescent="0.25">
      <c r="A35" s="129"/>
      <c r="B35" s="100" t="s">
        <v>165</v>
      </c>
      <c r="C35" s="228">
        <f>4.94%*$G$23</f>
        <v>1.9760000000000003E-2</v>
      </c>
      <c r="D35" s="228">
        <v>0</v>
      </c>
      <c r="E35" s="229">
        <f t="shared" si="0"/>
        <v>0</v>
      </c>
      <c r="F35" s="540"/>
      <c r="G35" s="540"/>
      <c r="H35" s="229">
        <f t="shared" si="1"/>
        <v>0.36880000000000002</v>
      </c>
      <c r="I35" s="537"/>
      <c r="J35" s="102" t="s">
        <v>279</v>
      </c>
    </row>
    <row r="36" spans="1:10" ht="19.5" customHeight="1" x14ac:dyDescent="0.25">
      <c r="A36" s="129"/>
      <c r="B36" s="100" t="s">
        <v>166</v>
      </c>
      <c r="C36" s="228">
        <f>4.94%*$G$23</f>
        <v>1.9760000000000003E-2</v>
      </c>
      <c r="D36" s="228"/>
      <c r="E36" s="229">
        <f t="shared" si="0"/>
        <v>0</v>
      </c>
      <c r="F36" s="540"/>
      <c r="G36" s="540"/>
      <c r="H36" s="229" t="str">
        <f t="shared" si="1"/>
        <v/>
      </c>
      <c r="I36" s="537"/>
      <c r="J36" s="102"/>
    </row>
    <row r="37" spans="1:10" ht="19.5" customHeight="1" x14ac:dyDescent="0.25">
      <c r="A37" s="129"/>
      <c r="B37" s="100" t="s">
        <v>167</v>
      </c>
      <c r="C37" s="228">
        <f>4.94%*$G$23</f>
        <v>1.9760000000000003E-2</v>
      </c>
      <c r="D37" s="228"/>
      <c r="E37" s="229">
        <f t="shared" si="0"/>
        <v>0</v>
      </c>
      <c r="F37" s="540"/>
      <c r="G37" s="540"/>
      <c r="H37" s="229" t="str">
        <f t="shared" si="1"/>
        <v/>
      </c>
      <c r="I37" s="537"/>
      <c r="J37" s="102"/>
    </row>
    <row r="38" spans="1:10" ht="19.5" customHeight="1" x14ac:dyDescent="0.25">
      <c r="A38" s="129"/>
      <c r="B38" s="100" t="s">
        <v>168</v>
      </c>
      <c r="C38" s="228">
        <f>(12.04%+4.94%)*$G$23</f>
        <v>6.7920000000000008E-2</v>
      </c>
      <c r="D38" s="228"/>
      <c r="E38" s="229">
        <f t="shared" si="0"/>
        <v>0</v>
      </c>
      <c r="F38" s="541"/>
      <c r="G38" s="541"/>
      <c r="H38" s="229" t="str">
        <f t="shared" si="1"/>
        <v/>
      </c>
      <c r="I38" s="538"/>
      <c r="J38" s="102"/>
    </row>
    <row r="39" spans="1:10" ht="169.2" customHeight="1" x14ac:dyDescent="0.25">
      <c r="A39" s="129"/>
      <c r="B39" s="119" t="s">
        <v>280</v>
      </c>
      <c r="C39" s="524" t="s">
        <v>456</v>
      </c>
      <c r="D39" s="525"/>
      <c r="E39" s="525"/>
      <c r="F39" s="525"/>
      <c r="G39" s="525"/>
      <c r="H39" s="525"/>
      <c r="I39" s="526"/>
      <c r="J39" s="103"/>
    </row>
    <row r="40" spans="1:10" ht="34.5" customHeight="1" x14ac:dyDescent="0.25">
      <c r="A40" s="129"/>
      <c r="B40" s="527"/>
      <c r="C40" s="528"/>
      <c r="D40" s="528"/>
      <c r="E40" s="528"/>
      <c r="F40" s="528"/>
      <c r="G40" s="528"/>
      <c r="H40" s="528"/>
      <c r="I40" s="529"/>
      <c r="J40" s="85"/>
    </row>
    <row r="41" spans="1:10" ht="34.5" customHeight="1" x14ac:dyDescent="0.25">
      <c r="A41" s="129"/>
      <c r="B41" s="530"/>
      <c r="C41" s="531"/>
      <c r="D41" s="531"/>
      <c r="E41" s="531"/>
      <c r="F41" s="531"/>
      <c r="G41" s="531"/>
      <c r="H41" s="531"/>
      <c r="I41" s="532"/>
      <c r="J41" s="103"/>
    </row>
    <row r="42" spans="1:10" ht="34.5" customHeight="1" x14ac:dyDescent="0.25">
      <c r="A42" s="129"/>
      <c r="B42" s="530"/>
      <c r="C42" s="531"/>
      <c r="D42" s="531"/>
      <c r="E42" s="531"/>
      <c r="F42" s="531"/>
      <c r="G42" s="531"/>
      <c r="H42" s="531"/>
      <c r="I42" s="532"/>
      <c r="J42" s="103"/>
    </row>
    <row r="43" spans="1:10" ht="34.5" customHeight="1" x14ac:dyDescent="0.25">
      <c r="A43" s="129"/>
      <c r="B43" s="530"/>
      <c r="C43" s="531"/>
      <c r="D43" s="531"/>
      <c r="E43" s="531"/>
      <c r="F43" s="531"/>
      <c r="G43" s="531"/>
      <c r="H43" s="531"/>
      <c r="I43" s="532"/>
      <c r="J43" s="103"/>
    </row>
    <row r="44" spans="1:10" ht="34.5" customHeight="1" x14ac:dyDescent="0.25">
      <c r="A44" s="129"/>
      <c r="B44" s="533"/>
      <c r="C44" s="534"/>
      <c r="D44" s="534"/>
      <c r="E44" s="534"/>
      <c r="F44" s="534"/>
      <c r="G44" s="534"/>
      <c r="H44" s="534"/>
      <c r="I44" s="535"/>
      <c r="J44" s="84"/>
    </row>
    <row r="45" spans="1:10" ht="140.25" customHeight="1" x14ac:dyDescent="0.25">
      <c r="A45" s="129"/>
      <c r="B45" s="118" t="s">
        <v>281</v>
      </c>
      <c r="C45" s="501" t="s">
        <v>457</v>
      </c>
      <c r="D45" s="502"/>
      <c r="E45" s="502"/>
      <c r="F45" s="502"/>
      <c r="G45" s="502"/>
      <c r="H45" s="502"/>
      <c r="I45" s="503"/>
      <c r="J45" s="104"/>
    </row>
    <row r="46" spans="1:10" ht="75" customHeight="1" x14ac:dyDescent="0.25">
      <c r="A46" s="129"/>
      <c r="B46" s="118" t="s">
        <v>282</v>
      </c>
      <c r="C46" s="501" t="s">
        <v>458</v>
      </c>
      <c r="D46" s="502"/>
      <c r="E46" s="502"/>
      <c r="F46" s="502"/>
      <c r="G46" s="502"/>
      <c r="H46" s="502"/>
      <c r="I46" s="503"/>
      <c r="J46" s="104"/>
    </row>
    <row r="47" spans="1:10" ht="65.25" customHeight="1" x14ac:dyDescent="0.25">
      <c r="A47" s="129"/>
      <c r="B47" s="120" t="s">
        <v>283</v>
      </c>
      <c r="C47" s="515" t="s">
        <v>459</v>
      </c>
      <c r="D47" s="516"/>
      <c r="E47" s="516"/>
      <c r="F47" s="516"/>
      <c r="G47" s="516"/>
      <c r="H47" s="516"/>
      <c r="I47" s="517"/>
      <c r="J47" s="104"/>
    </row>
    <row r="48" spans="1:10" ht="22.5" customHeight="1" x14ac:dyDescent="0.25">
      <c r="A48" s="129"/>
      <c r="B48" s="512" t="s">
        <v>284</v>
      </c>
      <c r="C48" s="513"/>
      <c r="D48" s="513"/>
      <c r="E48" s="513"/>
      <c r="F48" s="513"/>
      <c r="G48" s="513"/>
      <c r="H48" s="513"/>
      <c r="I48" s="514"/>
      <c r="J48" s="104"/>
    </row>
    <row r="49" spans="1:10" ht="22.5" customHeight="1" x14ac:dyDescent="0.25">
      <c r="A49" s="129"/>
      <c r="B49" s="508" t="s">
        <v>285</v>
      </c>
      <c r="C49" s="141" t="s">
        <v>286</v>
      </c>
      <c r="D49" s="510" t="s">
        <v>287</v>
      </c>
      <c r="E49" s="510"/>
      <c r="F49" s="510"/>
      <c r="G49" s="510" t="s">
        <v>288</v>
      </c>
      <c r="H49" s="510"/>
      <c r="I49" s="511"/>
      <c r="J49" s="105"/>
    </row>
    <row r="50" spans="1:10" ht="30.75" customHeight="1" x14ac:dyDescent="0.25">
      <c r="A50" s="129"/>
      <c r="B50" s="509"/>
      <c r="C50" s="230"/>
      <c r="D50" s="504"/>
      <c r="E50" s="504"/>
      <c r="F50" s="504"/>
      <c r="G50" s="504"/>
      <c r="H50" s="504"/>
      <c r="I50" s="505"/>
      <c r="J50" s="105"/>
    </row>
    <row r="51" spans="1:10" ht="32.25" customHeight="1" x14ac:dyDescent="0.25">
      <c r="A51" s="129"/>
      <c r="B51" s="121" t="s">
        <v>289</v>
      </c>
      <c r="C51" s="504" t="s">
        <v>290</v>
      </c>
      <c r="D51" s="504"/>
      <c r="E51" s="504"/>
      <c r="F51" s="504"/>
      <c r="G51" s="504"/>
      <c r="H51" s="504"/>
      <c r="I51" s="505"/>
      <c r="J51" s="106"/>
    </row>
    <row r="52" spans="1:10" ht="28.5" customHeight="1" x14ac:dyDescent="0.25">
      <c r="A52" s="129"/>
      <c r="B52" s="122" t="s">
        <v>291</v>
      </c>
      <c r="C52" s="504" t="s">
        <v>290</v>
      </c>
      <c r="D52" s="504"/>
      <c r="E52" s="504"/>
      <c r="F52" s="504"/>
      <c r="G52" s="504"/>
      <c r="H52" s="504"/>
      <c r="I52" s="505"/>
      <c r="J52" s="106"/>
    </row>
    <row r="53" spans="1:10" ht="30" customHeight="1" x14ac:dyDescent="0.25">
      <c r="A53" s="129"/>
      <c r="B53" s="120" t="s">
        <v>292</v>
      </c>
      <c r="C53" s="504" t="s">
        <v>293</v>
      </c>
      <c r="D53" s="504"/>
      <c r="E53" s="504"/>
      <c r="F53" s="504"/>
      <c r="G53" s="504"/>
      <c r="H53" s="504"/>
      <c r="I53" s="505"/>
      <c r="J53" s="107"/>
    </row>
    <row r="54" spans="1:10" ht="31.5" customHeight="1" thickBot="1" x14ac:dyDescent="0.3">
      <c r="A54" s="130"/>
      <c r="B54" s="116" t="s">
        <v>294</v>
      </c>
      <c r="C54" s="506" t="s">
        <v>295</v>
      </c>
      <c r="D54" s="506"/>
      <c r="E54" s="506"/>
      <c r="F54" s="506"/>
      <c r="G54" s="506"/>
      <c r="H54" s="506"/>
      <c r="I54" s="507"/>
      <c r="J54" s="108"/>
    </row>
    <row r="55" spans="1:10" x14ac:dyDescent="0.25">
      <c r="B55" s="109"/>
      <c r="C55" s="110"/>
      <c r="D55" s="110"/>
      <c r="E55" s="111"/>
      <c r="F55" s="111"/>
      <c r="G55" s="117"/>
      <c r="H55" s="113"/>
      <c r="I55" s="110"/>
      <c r="J55" s="108"/>
    </row>
    <row r="56" spans="1:10" x14ac:dyDescent="0.25">
      <c r="B56" s="109"/>
      <c r="C56" s="110"/>
      <c r="D56" s="110"/>
      <c r="E56" s="111"/>
      <c r="F56" s="111"/>
      <c r="G56" s="117"/>
      <c r="H56" s="113"/>
      <c r="I56" s="110"/>
      <c r="J56" s="108"/>
    </row>
    <row r="57" spans="1:10" x14ac:dyDescent="0.25">
      <c r="B57" s="109"/>
      <c r="C57" s="110"/>
      <c r="D57" s="110"/>
      <c r="E57" s="111"/>
      <c r="F57" s="111"/>
      <c r="G57" s="117"/>
      <c r="H57" s="113"/>
      <c r="I57" s="110"/>
      <c r="J57" s="108"/>
    </row>
    <row r="58" spans="1:10" x14ac:dyDescent="0.25">
      <c r="B58" s="109"/>
      <c r="C58" s="110"/>
      <c r="D58" s="110"/>
      <c r="E58" s="111"/>
      <c r="F58" s="111"/>
      <c r="G58" s="117"/>
      <c r="H58" s="113"/>
      <c r="I58" s="110"/>
      <c r="J58" s="108"/>
    </row>
    <row r="59" spans="1:10" x14ac:dyDescent="0.25">
      <c r="B59" s="109"/>
      <c r="C59" s="110"/>
      <c r="D59" s="110"/>
      <c r="E59" s="111"/>
      <c r="F59" s="111"/>
      <c r="G59" s="117"/>
      <c r="H59" s="113"/>
      <c r="I59" s="110"/>
      <c r="J59" s="108"/>
    </row>
    <row r="60" spans="1:10" ht="25.5" customHeight="1" x14ac:dyDescent="0.25">
      <c r="B60" s="109"/>
      <c r="C60" s="110"/>
      <c r="D60" s="110"/>
      <c r="E60" s="111"/>
      <c r="F60" s="111"/>
      <c r="G60" s="117"/>
      <c r="H60" s="113"/>
      <c r="I60" s="110"/>
      <c r="J60" s="108"/>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C39:I39"/>
    <mergeCell ref="B40:I44"/>
    <mergeCell ref="I27:I38"/>
    <mergeCell ref="G27:G38"/>
    <mergeCell ref="F27:F38"/>
    <mergeCell ref="C45:I45"/>
    <mergeCell ref="C53:I53"/>
    <mergeCell ref="C54:I54"/>
    <mergeCell ref="B49:B50"/>
    <mergeCell ref="D49:F49"/>
    <mergeCell ref="G49:I49"/>
    <mergeCell ref="D50:F50"/>
    <mergeCell ref="G50:I50"/>
    <mergeCell ref="C51:I51"/>
    <mergeCell ref="B48:I48"/>
    <mergeCell ref="C46:I46"/>
    <mergeCell ref="C47:I47"/>
    <mergeCell ref="C52:I52"/>
  </mergeCells>
  <phoneticPr fontId="74" type="noConversion"/>
  <dataValidations disablePrompts="1" count="2">
    <dataValidation type="list" allowBlank="1" showInputMessage="1" showErrorMessage="1" sqref="C7 I7" xr:uid="{ED8530C7-01D7-464F-9F5F-ACF2F40B37DC}">
      <formula1>#REF!</formula1>
    </dataValidation>
    <dataValidation type="list" allowBlank="1" showInputMessage="1" showErrorMessage="1" sqref="J10 H12:I13 C24:E24 C9:F9" xr:uid="{50695522-8E85-49C3-8E03-D606C7C139B1}">
      <formula1>#REF!</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32" zoomScale="80" zoomScaleNormal="70" zoomScaleSheetLayoutView="80" zoomScalePageLayoutView="85" workbookViewId="0">
      <selection activeCell="C36" sqref="C36:D36"/>
    </sheetView>
  </sheetViews>
  <sheetFormatPr baseColWidth="10" defaultColWidth="10.6640625" defaultRowHeight="13.2" x14ac:dyDescent="0.25"/>
  <cols>
    <col min="1" max="1" width="1" style="83" customWidth="1"/>
    <col min="2" max="2" width="25.44140625" style="114" customWidth="1"/>
    <col min="3" max="5" width="25.6640625" style="83" customWidth="1"/>
    <col min="6" max="6" width="25" style="83" customWidth="1"/>
    <col min="7" max="7" width="22" style="114" customWidth="1"/>
    <col min="8" max="8" width="20.44140625" style="83" customWidth="1"/>
    <col min="9" max="9" width="25.33203125" style="83" customWidth="1"/>
    <col min="10" max="11" width="22.44140625" style="83" customWidth="1"/>
    <col min="12" max="24" width="10.6640625" style="81"/>
    <col min="25" max="16384" width="10.6640625" style="83"/>
  </cols>
  <sheetData>
    <row r="1" spans="2:14" ht="37.5" customHeight="1" x14ac:dyDescent="0.25">
      <c r="B1" s="579"/>
      <c r="C1" s="630" t="s">
        <v>1</v>
      </c>
      <c r="D1" s="630"/>
      <c r="E1" s="630"/>
      <c r="F1" s="630"/>
      <c r="G1" s="630"/>
      <c r="H1" s="630"/>
      <c r="I1" s="583"/>
      <c r="J1" s="80"/>
      <c r="K1" s="80"/>
      <c r="M1" s="82" t="s">
        <v>67</v>
      </c>
    </row>
    <row r="2" spans="2:14" ht="37.5" customHeight="1" x14ac:dyDescent="0.25">
      <c r="B2" s="580"/>
      <c r="C2" s="586" t="s">
        <v>218</v>
      </c>
      <c r="D2" s="586"/>
      <c r="E2" s="586"/>
      <c r="F2" s="586"/>
      <c r="G2" s="586"/>
      <c r="H2" s="586"/>
      <c r="I2" s="584"/>
      <c r="J2" s="80"/>
      <c r="K2" s="80"/>
      <c r="M2" s="82" t="s">
        <v>68</v>
      </c>
    </row>
    <row r="3" spans="2:14" ht="37.5" customHeight="1" thickBot="1" x14ac:dyDescent="0.3">
      <c r="B3" s="581"/>
      <c r="C3" s="587" t="s">
        <v>219</v>
      </c>
      <c r="D3" s="587"/>
      <c r="E3" s="587"/>
      <c r="F3" s="587" t="s">
        <v>220</v>
      </c>
      <c r="G3" s="587"/>
      <c r="H3" s="587"/>
      <c r="I3" s="585"/>
      <c r="J3" s="80"/>
      <c r="K3" s="80"/>
      <c r="M3" s="82" t="s">
        <v>70</v>
      </c>
    </row>
    <row r="4" spans="2:14" ht="23.25" customHeight="1" x14ac:dyDescent="0.25">
      <c r="B4" s="575" t="s">
        <v>221</v>
      </c>
      <c r="C4" s="576"/>
      <c r="D4" s="576"/>
      <c r="E4" s="576"/>
      <c r="F4" s="576"/>
      <c r="G4" s="576"/>
      <c r="H4" s="576"/>
      <c r="I4" s="577"/>
      <c r="J4" s="84"/>
      <c r="K4" s="84"/>
    </row>
    <row r="5" spans="2:14" ht="24" customHeight="1" x14ac:dyDescent="0.25">
      <c r="B5" s="512" t="s">
        <v>222</v>
      </c>
      <c r="C5" s="513"/>
      <c r="D5" s="513"/>
      <c r="E5" s="513"/>
      <c r="F5" s="513"/>
      <c r="G5" s="513"/>
      <c r="H5" s="513"/>
      <c r="I5" s="514"/>
      <c r="J5" s="85"/>
      <c r="K5" s="85"/>
      <c r="N5" s="86"/>
    </row>
    <row r="6" spans="2:14" ht="30.75" customHeight="1" x14ac:dyDescent="0.25">
      <c r="B6" s="118" t="s">
        <v>223</v>
      </c>
      <c r="C6" s="134">
        <v>2</v>
      </c>
      <c r="D6" s="578" t="s">
        <v>224</v>
      </c>
      <c r="E6" s="578"/>
      <c r="F6" s="556" t="s">
        <v>296</v>
      </c>
      <c r="G6" s="556"/>
      <c r="H6" s="556"/>
      <c r="I6" s="557"/>
      <c r="J6" s="87"/>
      <c r="K6" s="87"/>
      <c r="M6" s="82" t="s">
        <v>81</v>
      </c>
      <c r="N6" s="86"/>
    </row>
    <row r="7" spans="2:14" ht="30.75" customHeight="1" x14ac:dyDescent="0.25">
      <c r="B7" s="118" t="s">
        <v>226</v>
      </c>
      <c r="C7" s="134" t="s">
        <v>84</v>
      </c>
      <c r="D7" s="578" t="s">
        <v>227</v>
      </c>
      <c r="E7" s="578"/>
      <c r="F7" s="549" t="s">
        <v>297</v>
      </c>
      <c r="G7" s="549"/>
      <c r="H7" s="135" t="s">
        <v>229</v>
      </c>
      <c r="I7" s="136" t="s">
        <v>84</v>
      </c>
      <c r="J7" s="88"/>
      <c r="K7" s="88"/>
      <c r="M7" s="82" t="s">
        <v>88</v>
      </c>
      <c r="N7" s="86"/>
    </row>
    <row r="8" spans="2:14" ht="30.75" customHeight="1" x14ac:dyDescent="0.25">
      <c r="B8" s="118" t="s">
        <v>230</v>
      </c>
      <c r="C8" s="556" t="s">
        <v>231</v>
      </c>
      <c r="D8" s="556"/>
      <c r="E8" s="556"/>
      <c r="F8" s="556"/>
      <c r="G8" s="135" t="s">
        <v>232</v>
      </c>
      <c r="H8" s="568">
        <v>7550</v>
      </c>
      <c r="I8" s="569"/>
      <c r="J8" s="89"/>
      <c r="K8" s="89"/>
      <c r="M8" s="82" t="s">
        <v>93</v>
      </c>
      <c r="N8" s="86"/>
    </row>
    <row r="9" spans="2:14" ht="30.75" customHeight="1" x14ac:dyDescent="0.25">
      <c r="B9" s="118" t="s">
        <v>68</v>
      </c>
      <c r="C9" s="570" t="s">
        <v>81</v>
      </c>
      <c r="D9" s="570"/>
      <c r="E9" s="570"/>
      <c r="F9" s="570"/>
      <c r="G9" s="135" t="s">
        <v>233</v>
      </c>
      <c r="H9" s="571" t="s">
        <v>234</v>
      </c>
      <c r="I9" s="572"/>
      <c r="J9" s="90"/>
      <c r="K9" s="90"/>
      <c r="M9" s="91" t="s">
        <v>97</v>
      </c>
    </row>
    <row r="10" spans="2:14" ht="98.25" customHeight="1" x14ac:dyDescent="0.25">
      <c r="B10" s="118" t="s">
        <v>235</v>
      </c>
      <c r="C10" s="556" t="s">
        <v>298</v>
      </c>
      <c r="D10" s="556"/>
      <c r="E10" s="556"/>
      <c r="F10" s="556"/>
      <c r="G10" s="556"/>
      <c r="H10" s="556"/>
      <c r="I10" s="557"/>
      <c r="J10" s="92"/>
      <c r="K10" s="92"/>
      <c r="M10" s="91"/>
    </row>
    <row r="11" spans="2:14" ht="30.75" customHeight="1" x14ac:dyDescent="0.25">
      <c r="B11" s="118" t="s">
        <v>237</v>
      </c>
      <c r="C11" s="556" t="s">
        <v>238</v>
      </c>
      <c r="D11" s="556"/>
      <c r="E11" s="556"/>
      <c r="F11" s="556"/>
      <c r="G11" s="556"/>
      <c r="H11" s="556"/>
      <c r="I11" s="557"/>
      <c r="J11" s="88"/>
      <c r="K11" s="88"/>
      <c r="M11" s="91"/>
      <c r="N11" s="86"/>
    </row>
    <row r="12" spans="2:14" ht="30.75" customHeight="1" x14ac:dyDescent="0.25">
      <c r="B12" s="118" t="s">
        <v>239</v>
      </c>
      <c r="C12" s="547" t="s">
        <v>299</v>
      </c>
      <c r="D12" s="547"/>
      <c r="E12" s="547"/>
      <c r="F12" s="547"/>
      <c r="G12" s="135" t="s">
        <v>241</v>
      </c>
      <c r="H12" s="549" t="s">
        <v>106</v>
      </c>
      <c r="I12" s="573"/>
      <c r="J12" s="88"/>
      <c r="K12" s="88"/>
      <c r="M12" s="91" t="s">
        <v>107</v>
      </c>
      <c r="N12" s="86"/>
    </row>
    <row r="13" spans="2:14" ht="30.75" customHeight="1" x14ac:dyDescent="0.25">
      <c r="B13" s="118" t="s">
        <v>242</v>
      </c>
      <c r="C13" s="574" t="s">
        <v>243</v>
      </c>
      <c r="D13" s="574"/>
      <c r="E13" s="574"/>
      <c r="F13" s="574"/>
      <c r="G13" s="138" t="s">
        <v>244</v>
      </c>
      <c r="H13" s="549" t="s">
        <v>82</v>
      </c>
      <c r="I13" s="573"/>
      <c r="J13" s="88"/>
      <c r="K13" s="88"/>
      <c r="M13" s="91" t="s">
        <v>111</v>
      </c>
    </row>
    <row r="14" spans="2:14" ht="64.5" customHeight="1" x14ac:dyDescent="0.25">
      <c r="B14" s="118" t="s">
        <v>245</v>
      </c>
      <c r="C14" s="547" t="s">
        <v>300</v>
      </c>
      <c r="D14" s="547"/>
      <c r="E14" s="547"/>
      <c r="F14" s="547"/>
      <c r="G14" s="547"/>
      <c r="H14" s="547"/>
      <c r="I14" s="548"/>
      <c r="J14" s="92"/>
      <c r="K14" s="92"/>
      <c r="M14" s="91" t="s">
        <v>114</v>
      </c>
      <c r="N14" s="86"/>
    </row>
    <row r="15" spans="2:14" ht="30.75" customHeight="1" x14ac:dyDescent="0.25">
      <c r="B15" s="118" t="s">
        <v>247</v>
      </c>
      <c r="C15" s="547" t="s">
        <v>301</v>
      </c>
      <c r="D15" s="547"/>
      <c r="E15" s="547"/>
      <c r="F15" s="547"/>
      <c r="G15" s="547"/>
      <c r="H15" s="547"/>
      <c r="I15" s="548"/>
      <c r="J15" s="93"/>
      <c r="K15" s="93"/>
      <c r="M15" s="91" t="s">
        <v>118</v>
      </c>
      <c r="N15" s="86"/>
    </row>
    <row r="16" spans="2:14" ht="35.700000000000003" customHeight="1" x14ac:dyDescent="0.25">
      <c r="B16" s="118" t="s">
        <v>249</v>
      </c>
      <c r="C16" s="556" t="s">
        <v>302</v>
      </c>
      <c r="D16" s="556"/>
      <c r="E16" s="556"/>
      <c r="F16" s="556"/>
      <c r="G16" s="556"/>
      <c r="H16" s="556"/>
      <c r="I16" s="557"/>
      <c r="J16" s="94"/>
      <c r="K16" s="94"/>
      <c r="M16" s="91"/>
      <c r="N16" s="86"/>
    </row>
    <row r="17" spans="2:14" ht="30.75" customHeight="1" x14ac:dyDescent="0.25">
      <c r="B17" s="118" t="s">
        <v>251</v>
      </c>
      <c r="C17" s="549" t="s">
        <v>43</v>
      </c>
      <c r="D17" s="550"/>
      <c r="E17" s="550"/>
      <c r="F17" s="550"/>
      <c r="G17" s="550"/>
      <c r="H17" s="550"/>
      <c r="I17" s="551"/>
      <c r="J17" s="95"/>
      <c r="K17" s="95"/>
      <c r="M17" s="91" t="s">
        <v>106</v>
      </c>
      <c r="N17" s="86"/>
    </row>
    <row r="18" spans="2:14" ht="18" customHeight="1" x14ac:dyDescent="0.25">
      <c r="B18" s="552" t="s">
        <v>253</v>
      </c>
      <c r="C18" s="553" t="s">
        <v>254</v>
      </c>
      <c r="D18" s="553"/>
      <c r="E18" s="553"/>
      <c r="F18" s="554" t="s">
        <v>255</v>
      </c>
      <c r="G18" s="554"/>
      <c r="H18" s="554"/>
      <c r="I18" s="555"/>
      <c r="J18" s="96"/>
      <c r="K18" s="96"/>
      <c r="M18" s="91" t="s">
        <v>128</v>
      </c>
      <c r="N18" s="86"/>
    </row>
    <row r="19" spans="2:14" ht="39.75" customHeight="1" x14ac:dyDescent="0.25">
      <c r="B19" s="552"/>
      <c r="C19" s="556" t="s">
        <v>303</v>
      </c>
      <c r="D19" s="556"/>
      <c r="E19" s="556"/>
      <c r="F19" s="556" t="s">
        <v>304</v>
      </c>
      <c r="G19" s="556"/>
      <c r="H19" s="556"/>
      <c r="I19" s="557"/>
      <c r="J19" s="94"/>
      <c r="K19" s="94"/>
      <c r="M19" s="91" t="s">
        <v>132</v>
      </c>
      <c r="N19" s="86"/>
    </row>
    <row r="20" spans="2:14" ht="39.75" customHeight="1" x14ac:dyDescent="0.25">
      <c r="B20" s="118" t="s">
        <v>258</v>
      </c>
      <c r="C20" s="558" t="s">
        <v>43</v>
      </c>
      <c r="D20" s="559"/>
      <c r="E20" s="560"/>
      <c r="F20" s="561" t="s">
        <v>43</v>
      </c>
      <c r="G20" s="561"/>
      <c r="H20" s="561"/>
      <c r="I20" s="562"/>
      <c r="J20" s="88"/>
      <c r="K20" s="88"/>
      <c r="M20" s="91"/>
      <c r="N20" s="86"/>
    </row>
    <row r="21" spans="2:14" ht="105" customHeight="1" x14ac:dyDescent="0.25">
      <c r="B21" s="118" t="s">
        <v>259</v>
      </c>
      <c r="C21" s="623" t="s">
        <v>305</v>
      </c>
      <c r="D21" s="624"/>
      <c r="E21" s="625"/>
      <c r="F21" s="626" t="s">
        <v>306</v>
      </c>
      <c r="G21" s="618"/>
      <c r="H21" s="618"/>
      <c r="I21" s="627"/>
      <c r="J21" s="93"/>
      <c r="K21" s="93"/>
      <c r="M21" s="97"/>
      <c r="N21" s="86"/>
    </row>
    <row r="22" spans="2:14" ht="23.25" customHeight="1" x14ac:dyDescent="0.25">
      <c r="B22" s="118" t="s">
        <v>262</v>
      </c>
      <c r="C22" s="617">
        <v>44562</v>
      </c>
      <c r="D22" s="628"/>
      <c r="E22" s="629"/>
      <c r="F22" s="135" t="s">
        <v>263</v>
      </c>
      <c r="G22" s="231">
        <v>8.5000000000000006E-2</v>
      </c>
      <c r="H22" s="135" t="s">
        <v>264</v>
      </c>
      <c r="I22" s="137">
        <v>8.5000000000000006E-2</v>
      </c>
      <c r="J22" s="98"/>
      <c r="K22" s="98"/>
      <c r="M22" s="97"/>
    </row>
    <row r="23" spans="2:14" ht="27" customHeight="1" x14ac:dyDescent="0.25">
      <c r="B23" s="118" t="s">
        <v>265</v>
      </c>
      <c r="C23" s="617">
        <v>44926</v>
      </c>
      <c r="D23" s="618"/>
      <c r="E23" s="619"/>
      <c r="F23" s="135" t="s">
        <v>266</v>
      </c>
      <c r="G23" s="620">
        <v>0.3</v>
      </c>
      <c r="H23" s="621"/>
      <c r="I23" s="622"/>
      <c r="J23" s="99"/>
      <c r="K23" s="99"/>
      <c r="M23" s="97"/>
    </row>
    <row r="24" spans="2:14" ht="30.75" customHeight="1" x14ac:dyDescent="0.25">
      <c r="B24" s="226" t="s">
        <v>267</v>
      </c>
      <c r="C24" s="590" t="s">
        <v>268</v>
      </c>
      <c r="D24" s="591"/>
      <c r="E24" s="592"/>
      <c r="F24" s="227" t="s">
        <v>269</v>
      </c>
      <c r="G24" s="521" t="s">
        <v>46</v>
      </c>
      <c r="H24" s="522"/>
      <c r="I24" s="523"/>
      <c r="J24" s="96"/>
      <c r="K24" s="96"/>
      <c r="M24" s="97"/>
    </row>
    <row r="25" spans="2:14" ht="22.5" customHeight="1" x14ac:dyDescent="0.25">
      <c r="B25" s="512" t="s">
        <v>270</v>
      </c>
      <c r="C25" s="513"/>
      <c r="D25" s="513"/>
      <c r="E25" s="513"/>
      <c r="F25" s="513"/>
      <c r="G25" s="513"/>
      <c r="H25" s="513"/>
      <c r="I25" s="514"/>
      <c r="J25" s="85"/>
      <c r="K25" s="85"/>
      <c r="M25" s="97"/>
    </row>
    <row r="26" spans="2:14" ht="43.5" customHeight="1" x14ac:dyDescent="0.25">
      <c r="B26" s="100" t="s">
        <v>148</v>
      </c>
      <c r="C26" s="138" t="s">
        <v>271</v>
      </c>
      <c r="D26" s="138" t="s">
        <v>272</v>
      </c>
      <c r="E26" s="139" t="s">
        <v>273</v>
      </c>
      <c r="F26" s="138" t="s">
        <v>274</v>
      </c>
      <c r="G26" s="138" t="s">
        <v>275</v>
      </c>
      <c r="H26" s="139" t="s">
        <v>276</v>
      </c>
      <c r="I26" s="140" t="s">
        <v>277</v>
      </c>
      <c r="J26" s="94"/>
      <c r="K26" s="94"/>
      <c r="M26" s="97"/>
    </row>
    <row r="27" spans="2:14" ht="15.45" customHeight="1" x14ac:dyDescent="0.25">
      <c r="B27" s="100" t="s">
        <v>278</v>
      </c>
      <c r="C27" s="232">
        <f>8.33%*$G$23</f>
        <v>2.4989999999999998E-2</v>
      </c>
      <c r="D27" s="232">
        <f>8.33%*$G$23</f>
        <v>2.4989999999999998E-2</v>
      </c>
      <c r="E27" s="131">
        <f>D27/C27</f>
        <v>1</v>
      </c>
      <c r="F27" s="593">
        <f>SUM(C27:C38)</f>
        <v>0.29988000000000004</v>
      </c>
      <c r="G27" s="593">
        <f>SUM(D27:D38)</f>
        <v>0.22491</v>
      </c>
      <c r="H27" s="233">
        <f>+(D27*100%)/$G$23</f>
        <v>8.3299999999999999E-2</v>
      </c>
      <c r="I27" s="596">
        <f>G27+I22</f>
        <v>0.30991000000000002</v>
      </c>
      <c r="J27" s="94"/>
      <c r="K27" s="94"/>
      <c r="M27" s="97"/>
    </row>
    <row r="28" spans="2:14" ht="15.45" customHeight="1" x14ac:dyDescent="0.25">
      <c r="B28" s="100" t="s">
        <v>158</v>
      </c>
      <c r="C28" s="232">
        <f t="shared" ref="C28:D38" si="0">8.33%*$G$23</f>
        <v>2.4989999999999998E-2</v>
      </c>
      <c r="D28" s="232">
        <f>8.33%*$G$23</f>
        <v>2.4989999999999998E-2</v>
      </c>
      <c r="E28" s="131">
        <f t="shared" ref="E28:E31" si="1">D28/C28</f>
        <v>1</v>
      </c>
      <c r="F28" s="594"/>
      <c r="G28" s="594"/>
      <c r="H28" s="233">
        <f>+IF(D28="","",((D28*100%)/$G$23)+H27)</f>
        <v>0.1666</v>
      </c>
      <c r="I28" s="597"/>
      <c r="J28" s="94"/>
      <c r="K28" s="94"/>
      <c r="M28" s="97"/>
    </row>
    <row r="29" spans="2:14" ht="15.45" customHeight="1" x14ac:dyDescent="0.25">
      <c r="B29" s="100" t="s">
        <v>159</v>
      </c>
      <c r="C29" s="232">
        <f t="shared" si="0"/>
        <v>2.4989999999999998E-2</v>
      </c>
      <c r="D29" s="232">
        <f>8.33%*$G$23</f>
        <v>2.4989999999999998E-2</v>
      </c>
      <c r="E29" s="131">
        <f t="shared" si="1"/>
        <v>1</v>
      </c>
      <c r="F29" s="594"/>
      <c r="G29" s="594"/>
      <c r="H29" s="233">
        <f t="shared" ref="H29:H38" si="2">+IF(D29="","",((D29*100%)/$G$23)+H28)</f>
        <v>0.24990000000000001</v>
      </c>
      <c r="I29" s="597"/>
      <c r="J29" s="94"/>
      <c r="K29" s="94"/>
      <c r="M29" s="97"/>
    </row>
    <row r="30" spans="2:14" ht="15.45" customHeight="1" x14ac:dyDescent="0.25">
      <c r="B30" s="100" t="s">
        <v>160</v>
      </c>
      <c r="C30" s="232">
        <f t="shared" si="0"/>
        <v>2.4989999999999998E-2</v>
      </c>
      <c r="D30" s="232">
        <f>8.33%*$G$23</f>
        <v>2.4989999999999998E-2</v>
      </c>
      <c r="E30" s="131">
        <f t="shared" si="1"/>
        <v>1</v>
      </c>
      <c r="F30" s="594"/>
      <c r="G30" s="594"/>
      <c r="H30" s="233">
        <f t="shared" si="2"/>
        <v>0.3332</v>
      </c>
      <c r="I30" s="597"/>
      <c r="J30" s="94"/>
      <c r="K30" s="94"/>
      <c r="M30" s="97"/>
    </row>
    <row r="31" spans="2:14" ht="15.45" customHeight="1" x14ac:dyDescent="0.25">
      <c r="B31" s="100" t="s">
        <v>161</v>
      </c>
      <c r="C31" s="232">
        <f t="shared" si="0"/>
        <v>2.4989999999999998E-2</v>
      </c>
      <c r="D31" s="232">
        <f>8.33%*$G$23</f>
        <v>2.4989999999999998E-2</v>
      </c>
      <c r="E31" s="131">
        <f t="shared" si="1"/>
        <v>1</v>
      </c>
      <c r="F31" s="594"/>
      <c r="G31" s="594"/>
      <c r="H31" s="233">
        <f t="shared" si="2"/>
        <v>0.41649999999999998</v>
      </c>
      <c r="I31" s="597"/>
      <c r="J31" s="94"/>
      <c r="K31" s="94"/>
      <c r="M31" s="97"/>
    </row>
    <row r="32" spans="2:14" ht="15.45" customHeight="1" x14ac:dyDescent="0.25">
      <c r="B32" s="100" t="s">
        <v>162</v>
      </c>
      <c r="C32" s="232">
        <f t="shared" si="0"/>
        <v>2.4989999999999998E-2</v>
      </c>
      <c r="D32" s="232">
        <f t="shared" si="0"/>
        <v>2.4989999999999998E-2</v>
      </c>
      <c r="E32" s="131">
        <f>D32/C32</f>
        <v>1</v>
      </c>
      <c r="F32" s="594"/>
      <c r="G32" s="594"/>
      <c r="H32" s="233">
        <f t="shared" si="2"/>
        <v>0.49979999999999997</v>
      </c>
      <c r="I32" s="597"/>
      <c r="J32" s="94"/>
      <c r="K32" s="94"/>
      <c r="M32" s="97"/>
    </row>
    <row r="33" spans="2:11" ht="19.5" customHeight="1" x14ac:dyDescent="0.25">
      <c r="B33" s="100" t="s">
        <v>163</v>
      </c>
      <c r="C33" s="232">
        <f t="shared" si="0"/>
        <v>2.4989999999999998E-2</v>
      </c>
      <c r="D33" s="232">
        <f t="shared" si="0"/>
        <v>2.4989999999999998E-2</v>
      </c>
      <c r="E33" s="131">
        <f t="shared" ref="E33:E38" si="3">D33/C33</f>
        <v>1</v>
      </c>
      <c r="F33" s="594"/>
      <c r="G33" s="594"/>
      <c r="H33" s="233">
        <f t="shared" si="2"/>
        <v>0.58309999999999995</v>
      </c>
      <c r="I33" s="597"/>
      <c r="J33" s="102"/>
      <c r="K33" s="102"/>
    </row>
    <row r="34" spans="2:11" ht="19.5" customHeight="1" x14ac:dyDescent="0.25">
      <c r="B34" s="100" t="s">
        <v>164</v>
      </c>
      <c r="C34" s="232">
        <f t="shared" si="0"/>
        <v>2.4989999999999998E-2</v>
      </c>
      <c r="D34" s="232">
        <f t="shared" si="0"/>
        <v>2.4989999999999998E-2</v>
      </c>
      <c r="E34" s="131">
        <f t="shared" si="3"/>
        <v>1</v>
      </c>
      <c r="F34" s="594"/>
      <c r="G34" s="594"/>
      <c r="H34" s="233">
        <f t="shared" si="2"/>
        <v>0.66639999999999999</v>
      </c>
      <c r="I34" s="597"/>
      <c r="J34" s="102"/>
      <c r="K34" s="102"/>
    </row>
    <row r="35" spans="2:11" ht="19.5" customHeight="1" x14ac:dyDescent="0.25">
      <c r="B35" s="100" t="s">
        <v>165</v>
      </c>
      <c r="C35" s="232">
        <f t="shared" si="0"/>
        <v>2.4989999999999998E-2</v>
      </c>
      <c r="D35" s="232">
        <f t="shared" si="0"/>
        <v>2.4989999999999998E-2</v>
      </c>
      <c r="E35" s="131">
        <f t="shared" si="3"/>
        <v>1</v>
      </c>
      <c r="F35" s="594"/>
      <c r="G35" s="594"/>
      <c r="H35" s="233">
        <f t="shared" si="2"/>
        <v>0.74970000000000003</v>
      </c>
      <c r="I35" s="597"/>
      <c r="J35" s="102"/>
      <c r="K35" s="102"/>
    </row>
    <row r="36" spans="2:11" ht="19.5" customHeight="1" x14ac:dyDescent="0.25">
      <c r="B36" s="100" t="s">
        <v>166</v>
      </c>
      <c r="C36" s="232">
        <f t="shared" si="0"/>
        <v>2.4989999999999998E-2</v>
      </c>
      <c r="D36" s="232"/>
      <c r="E36" s="131">
        <f t="shared" si="3"/>
        <v>0</v>
      </c>
      <c r="F36" s="594"/>
      <c r="G36" s="594"/>
      <c r="H36" s="233" t="str">
        <f t="shared" si="2"/>
        <v/>
      </c>
      <c r="I36" s="597"/>
      <c r="J36" s="102"/>
      <c r="K36" s="102"/>
    </row>
    <row r="37" spans="2:11" ht="19.5" customHeight="1" x14ac:dyDescent="0.25">
      <c r="B37" s="100" t="s">
        <v>167</v>
      </c>
      <c r="C37" s="232">
        <f t="shared" si="0"/>
        <v>2.4989999999999998E-2</v>
      </c>
      <c r="D37" s="232"/>
      <c r="E37" s="131">
        <f t="shared" si="3"/>
        <v>0</v>
      </c>
      <c r="F37" s="594"/>
      <c r="G37" s="594"/>
      <c r="H37" s="233" t="str">
        <f t="shared" si="2"/>
        <v/>
      </c>
      <c r="I37" s="597"/>
      <c r="J37" s="102"/>
      <c r="K37" s="102"/>
    </row>
    <row r="38" spans="2:11" ht="19.5" customHeight="1" x14ac:dyDescent="0.25">
      <c r="B38" s="100" t="s">
        <v>168</v>
      </c>
      <c r="C38" s="232">
        <f t="shared" si="0"/>
        <v>2.4989999999999998E-2</v>
      </c>
      <c r="D38" s="232"/>
      <c r="E38" s="131">
        <f t="shared" si="3"/>
        <v>0</v>
      </c>
      <c r="F38" s="595"/>
      <c r="G38" s="595"/>
      <c r="H38" s="233" t="str">
        <f t="shared" si="2"/>
        <v/>
      </c>
      <c r="I38" s="598"/>
      <c r="J38" s="102"/>
      <c r="K38" s="102"/>
    </row>
    <row r="39" spans="2:11" ht="89.25" customHeight="1" x14ac:dyDescent="0.25">
      <c r="B39" s="119" t="s">
        <v>280</v>
      </c>
      <c r="C39" s="599" t="s">
        <v>307</v>
      </c>
      <c r="D39" s="600"/>
      <c r="E39" s="600"/>
      <c r="F39" s="600"/>
      <c r="G39" s="600"/>
      <c r="H39" s="600"/>
      <c r="I39" s="601"/>
      <c r="J39" s="103"/>
      <c r="K39" s="103"/>
    </row>
    <row r="40" spans="2:11" ht="34.5" customHeight="1" x14ac:dyDescent="0.25">
      <c r="B40" s="527"/>
      <c r="C40" s="528"/>
      <c r="D40" s="528"/>
      <c r="E40" s="528"/>
      <c r="F40" s="528"/>
      <c r="G40" s="528"/>
      <c r="H40" s="528"/>
      <c r="I40" s="529"/>
      <c r="J40" s="85"/>
      <c r="K40" s="85"/>
    </row>
    <row r="41" spans="2:11" ht="34.5" customHeight="1" x14ac:dyDescent="0.25">
      <c r="B41" s="530"/>
      <c r="C41" s="531"/>
      <c r="D41" s="531"/>
      <c r="E41" s="531"/>
      <c r="F41" s="531"/>
      <c r="G41" s="531"/>
      <c r="H41" s="531"/>
      <c r="I41" s="532"/>
      <c r="J41" s="103"/>
      <c r="K41" s="103"/>
    </row>
    <row r="42" spans="2:11" ht="34.5" customHeight="1" x14ac:dyDescent="0.25">
      <c r="B42" s="530"/>
      <c r="C42" s="531"/>
      <c r="D42" s="531"/>
      <c r="E42" s="531"/>
      <c r="F42" s="531"/>
      <c r="G42" s="531"/>
      <c r="H42" s="531"/>
      <c r="I42" s="532"/>
      <c r="J42" s="103"/>
      <c r="K42" s="103"/>
    </row>
    <row r="43" spans="2:11" ht="34.5" customHeight="1" x14ac:dyDescent="0.25">
      <c r="B43" s="530"/>
      <c r="C43" s="531"/>
      <c r="D43" s="531"/>
      <c r="E43" s="531"/>
      <c r="F43" s="531"/>
      <c r="G43" s="531"/>
      <c r="H43" s="531"/>
      <c r="I43" s="532"/>
      <c r="J43" s="103"/>
      <c r="K43" s="103"/>
    </row>
    <row r="44" spans="2:11" ht="34.5" customHeight="1" x14ac:dyDescent="0.25">
      <c r="B44" s="533"/>
      <c r="C44" s="534"/>
      <c r="D44" s="534"/>
      <c r="E44" s="534"/>
      <c r="F44" s="534"/>
      <c r="G44" s="534"/>
      <c r="H44" s="534"/>
      <c r="I44" s="535"/>
      <c r="J44" s="84"/>
      <c r="K44" s="84"/>
    </row>
    <row r="45" spans="2:11" ht="29.25" customHeight="1" x14ac:dyDescent="0.25">
      <c r="B45" s="605" t="s">
        <v>281</v>
      </c>
      <c r="C45" s="608" t="s">
        <v>307</v>
      </c>
      <c r="D45" s="609"/>
      <c r="E45" s="609"/>
      <c r="F45" s="610"/>
      <c r="G45" s="143"/>
      <c r="H45" s="144" t="s">
        <v>148</v>
      </c>
      <c r="I45" s="145" t="s">
        <v>308</v>
      </c>
      <c r="J45" s="104"/>
      <c r="K45" s="104"/>
    </row>
    <row r="46" spans="2:11" ht="29.25" customHeight="1" x14ac:dyDescent="0.25">
      <c r="B46" s="606"/>
      <c r="C46" s="611"/>
      <c r="D46" s="612"/>
      <c r="E46" s="612"/>
      <c r="F46" s="613"/>
      <c r="G46" s="143" t="s">
        <v>309</v>
      </c>
      <c r="H46" s="281">
        <v>493</v>
      </c>
      <c r="I46" s="281">
        <f>1891+327</f>
        <v>2218</v>
      </c>
      <c r="J46" s="104"/>
      <c r="K46" s="104"/>
    </row>
    <row r="47" spans="2:11" ht="29.25" customHeight="1" x14ac:dyDescent="0.25">
      <c r="B47" s="606"/>
      <c r="C47" s="611"/>
      <c r="D47" s="612"/>
      <c r="E47" s="612"/>
      <c r="F47" s="613"/>
      <c r="G47" s="143" t="s">
        <v>310</v>
      </c>
      <c r="H47" s="281">
        <v>86</v>
      </c>
      <c r="I47" s="281">
        <f>505+86</f>
        <v>591</v>
      </c>
      <c r="J47" s="104"/>
      <c r="K47" s="104"/>
    </row>
    <row r="48" spans="2:11" ht="29.25" customHeight="1" x14ac:dyDescent="0.25">
      <c r="B48" s="606"/>
      <c r="C48" s="611"/>
      <c r="D48" s="612"/>
      <c r="E48" s="612"/>
      <c r="F48" s="613"/>
      <c r="G48" s="143" t="s">
        <v>311</v>
      </c>
      <c r="H48" s="281">
        <v>27</v>
      </c>
      <c r="I48" s="281">
        <f>122+27</f>
        <v>149</v>
      </c>
      <c r="J48" s="104"/>
      <c r="K48" s="104"/>
    </row>
    <row r="49" spans="2:11" ht="29.25" customHeight="1" x14ac:dyDescent="0.25">
      <c r="B49" s="606"/>
      <c r="C49" s="611"/>
      <c r="D49" s="612"/>
      <c r="E49" s="612"/>
      <c r="F49" s="613"/>
      <c r="G49" s="143" t="s">
        <v>312</v>
      </c>
      <c r="H49" s="281">
        <v>248</v>
      </c>
      <c r="I49" s="281">
        <f>1494+248</f>
        <v>1742</v>
      </c>
      <c r="J49" s="104"/>
      <c r="K49" s="104"/>
    </row>
    <row r="50" spans="2:11" ht="29.25" customHeight="1" x14ac:dyDescent="0.25">
      <c r="B50" s="606"/>
      <c r="C50" s="611"/>
      <c r="D50" s="612"/>
      <c r="E50" s="612"/>
      <c r="F50" s="613"/>
      <c r="G50" s="143" t="s">
        <v>313</v>
      </c>
      <c r="H50" s="281">
        <v>341</v>
      </c>
      <c r="I50" s="281">
        <f>2584+341</f>
        <v>2925</v>
      </c>
      <c r="J50" s="104"/>
      <c r="K50" s="104"/>
    </row>
    <row r="51" spans="2:11" ht="29.25" customHeight="1" x14ac:dyDescent="0.25">
      <c r="B51" s="606"/>
      <c r="C51" s="611"/>
      <c r="D51" s="612"/>
      <c r="E51" s="612"/>
      <c r="F51" s="613"/>
      <c r="G51" s="143" t="s">
        <v>314</v>
      </c>
      <c r="H51" s="281">
        <v>161</v>
      </c>
      <c r="I51" s="281">
        <f>1844+161</f>
        <v>2005</v>
      </c>
      <c r="J51" s="104"/>
      <c r="K51" s="104"/>
    </row>
    <row r="52" spans="2:11" ht="29.25" customHeight="1" x14ac:dyDescent="0.25">
      <c r="B52" s="607"/>
      <c r="C52" s="614"/>
      <c r="D52" s="615"/>
      <c r="E52" s="615"/>
      <c r="F52" s="616"/>
      <c r="G52" s="143" t="s">
        <v>315</v>
      </c>
      <c r="H52" s="281">
        <v>3653499</v>
      </c>
      <c r="I52" s="281">
        <f>34790492+3653499</f>
        <v>38443991</v>
      </c>
      <c r="J52" s="104"/>
      <c r="K52" s="104"/>
    </row>
    <row r="53" spans="2:11" ht="46.5" customHeight="1" x14ac:dyDescent="0.25">
      <c r="B53" s="118" t="s">
        <v>282</v>
      </c>
      <c r="C53" s="501" t="s">
        <v>46</v>
      </c>
      <c r="D53" s="502"/>
      <c r="E53" s="502"/>
      <c r="F53" s="502"/>
      <c r="G53" s="502"/>
      <c r="H53" s="502"/>
      <c r="I53" s="503"/>
      <c r="J53" s="104"/>
      <c r="K53" s="104"/>
    </row>
    <row r="54" spans="2:11" ht="93.75" customHeight="1" x14ac:dyDescent="0.25">
      <c r="B54" s="120" t="s">
        <v>283</v>
      </c>
      <c r="C54" s="602" t="s">
        <v>316</v>
      </c>
      <c r="D54" s="603"/>
      <c r="E54" s="603"/>
      <c r="F54" s="603"/>
      <c r="G54" s="603"/>
      <c r="H54" s="603"/>
      <c r="I54" s="604"/>
      <c r="J54" s="104"/>
      <c r="K54" s="104"/>
    </row>
    <row r="55" spans="2:11" ht="22.5" customHeight="1" x14ac:dyDescent="0.25">
      <c r="B55" s="512" t="s">
        <v>284</v>
      </c>
      <c r="C55" s="513"/>
      <c r="D55" s="513"/>
      <c r="E55" s="513"/>
      <c r="F55" s="513"/>
      <c r="G55" s="513"/>
      <c r="H55" s="513"/>
      <c r="I55" s="514"/>
      <c r="J55" s="104"/>
      <c r="K55" s="104"/>
    </row>
    <row r="56" spans="2:11" ht="22.5" customHeight="1" x14ac:dyDescent="0.25">
      <c r="B56" s="508" t="s">
        <v>285</v>
      </c>
      <c r="C56" s="141" t="s">
        <v>286</v>
      </c>
      <c r="D56" s="510" t="s">
        <v>287</v>
      </c>
      <c r="E56" s="510"/>
      <c r="F56" s="510"/>
      <c r="G56" s="510" t="s">
        <v>288</v>
      </c>
      <c r="H56" s="510"/>
      <c r="I56" s="511"/>
      <c r="J56" s="105"/>
      <c r="K56" s="105"/>
    </row>
    <row r="57" spans="2:11" ht="30.75" customHeight="1" x14ac:dyDescent="0.25">
      <c r="B57" s="509"/>
      <c r="C57" s="142"/>
      <c r="D57" s="588"/>
      <c r="E57" s="588"/>
      <c r="F57" s="588"/>
      <c r="G57" s="588"/>
      <c r="H57" s="588"/>
      <c r="I57" s="589"/>
      <c r="J57" s="105"/>
      <c r="K57" s="105"/>
    </row>
    <row r="58" spans="2:11" ht="32.25" customHeight="1" x14ac:dyDescent="0.25">
      <c r="B58" s="121" t="s">
        <v>289</v>
      </c>
      <c r="C58" s="588" t="s">
        <v>317</v>
      </c>
      <c r="D58" s="588"/>
      <c r="E58" s="588"/>
      <c r="F58" s="588"/>
      <c r="G58" s="588"/>
      <c r="H58" s="588"/>
      <c r="I58" s="589"/>
      <c r="J58" s="106"/>
      <c r="K58" s="106"/>
    </row>
    <row r="59" spans="2:11" ht="28.5" customHeight="1" x14ac:dyDescent="0.25">
      <c r="B59" s="122" t="s">
        <v>291</v>
      </c>
      <c r="C59" s="588" t="s">
        <v>317</v>
      </c>
      <c r="D59" s="588"/>
      <c r="E59" s="588"/>
      <c r="F59" s="588"/>
      <c r="G59" s="588"/>
      <c r="H59" s="588"/>
      <c r="I59" s="589"/>
      <c r="J59" s="106"/>
      <c r="K59" s="106"/>
    </row>
    <row r="60" spans="2:11" ht="30" customHeight="1" x14ac:dyDescent="0.25">
      <c r="B60" s="120" t="s">
        <v>292</v>
      </c>
      <c r="C60" s="588" t="s">
        <v>317</v>
      </c>
      <c r="D60" s="588"/>
      <c r="E60" s="588"/>
      <c r="F60" s="588"/>
      <c r="G60" s="588"/>
      <c r="H60" s="588"/>
      <c r="I60" s="589"/>
      <c r="J60" s="107"/>
      <c r="K60" s="107"/>
    </row>
    <row r="61" spans="2:11" ht="31.5" customHeight="1" thickBot="1" x14ac:dyDescent="0.3">
      <c r="B61" s="116" t="s">
        <v>294</v>
      </c>
      <c r="C61" s="588" t="s">
        <v>317</v>
      </c>
      <c r="D61" s="588"/>
      <c r="E61" s="588"/>
      <c r="F61" s="588"/>
      <c r="G61" s="588"/>
      <c r="H61" s="588"/>
      <c r="I61" s="589"/>
      <c r="J61" s="108"/>
      <c r="K61" s="108"/>
    </row>
    <row r="62" spans="2:11" x14ac:dyDescent="0.25">
      <c r="B62" s="109"/>
      <c r="C62" s="110"/>
      <c r="D62" s="110"/>
      <c r="E62" s="111"/>
      <c r="F62" s="111"/>
      <c r="G62" s="117"/>
      <c r="H62" s="113"/>
      <c r="I62" s="110"/>
      <c r="J62" s="108"/>
      <c r="K62" s="108"/>
    </row>
    <row r="63" spans="2:11" x14ac:dyDescent="0.25">
      <c r="B63" s="109"/>
      <c r="C63" s="110"/>
      <c r="D63" s="110"/>
      <c r="E63" s="111"/>
      <c r="F63" s="111"/>
      <c r="G63" s="117"/>
      <c r="H63" s="113"/>
      <c r="I63" s="110"/>
      <c r="J63" s="108"/>
      <c r="K63" s="108"/>
    </row>
    <row r="64" spans="2:11" x14ac:dyDescent="0.25">
      <c r="B64" s="109"/>
      <c r="C64" s="110"/>
      <c r="D64" s="110"/>
      <c r="E64" s="111"/>
      <c r="F64" s="111"/>
      <c r="G64" s="117"/>
      <c r="H64" s="113"/>
      <c r="I64" s="110"/>
      <c r="J64" s="108"/>
      <c r="K64" s="108"/>
    </row>
    <row r="65" spans="2:11" x14ac:dyDescent="0.25">
      <c r="B65" s="109"/>
      <c r="C65" s="110"/>
      <c r="D65" s="110"/>
      <c r="E65" s="111"/>
      <c r="F65" s="111"/>
      <c r="G65" s="117"/>
      <c r="H65" s="113"/>
      <c r="I65" s="110"/>
      <c r="J65" s="108"/>
      <c r="K65" s="108"/>
    </row>
    <row r="66" spans="2:11" x14ac:dyDescent="0.25">
      <c r="B66" s="109"/>
      <c r="C66" s="110"/>
      <c r="D66" s="110"/>
      <c r="E66" s="111"/>
      <c r="F66" s="111"/>
      <c r="G66" s="117"/>
      <c r="H66" s="113"/>
      <c r="I66" s="110"/>
      <c r="J66" s="108"/>
      <c r="K66" s="108"/>
    </row>
    <row r="67" spans="2:11" ht="25.5" customHeight="1" x14ac:dyDescent="0.25">
      <c r="B67" s="109"/>
      <c r="C67" s="110"/>
      <c r="D67" s="110"/>
      <c r="E67" s="111"/>
      <c r="F67" s="111"/>
      <c r="G67" s="117"/>
      <c r="H67" s="113"/>
      <c r="I67" s="110"/>
      <c r="J67" s="108"/>
      <c r="K67" s="108"/>
    </row>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5:I55"/>
    <mergeCell ref="C24:E24"/>
    <mergeCell ref="G24:I24"/>
    <mergeCell ref="B25:I25"/>
    <mergeCell ref="F27:F38"/>
    <mergeCell ref="G27:G38"/>
    <mergeCell ref="I27:I38"/>
    <mergeCell ref="C39:I39"/>
    <mergeCell ref="B40:I44"/>
    <mergeCell ref="C53:I53"/>
    <mergeCell ref="C54:I54"/>
    <mergeCell ref="B45:B52"/>
    <mergeCell ref="C45:F52"/>
    <mergeCell ref="C59:I59"/>
    <mergeCell ref="C60:I60"/>
    <mergeCell ref="C61:I61"/>
    <mergeCell ref="C58:I58"/>
    <mergeCell ref="B56:B57"/>
    <mergeCell ref="D56:F56"/>
    <mergeCell ref="G56:I56"/>
    <mergeCell ref="D57:F57"/>
    <mergeCell ref="G57:I57"/>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22860</xdr:colOff>
                <xdr:row>1</xdr:row>
                <xdr:rowOff>22860</xdr:rowOff>
              </from>
              <to>
                <xdr:col>8</xdr:col>
                <xdr:colOff>1714500</xdr:colOff>
                <xdr:row>2</xdr:row>
                <xdr:rowOff>60960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A32" zoomScale="85" zoomScaleNormal="85" zoomScaleSheetLayoutView="85" workbookViewId="0">
      <selection activeCell="C36" sqref="C36:D36"/>
    </sheetView>
  </sheetViews>
  <sheetFormatPr baseColWidth="10" defaultColWidth="11.44140625" defaultRowHeight="13.2" x14ac:dyDescent="0.25"/>
  <cols>
    <col min="1" max="1" width="1" style="83" customWidth="1"/>
    <col min="2" max="2" width="25.44140625" style="114" customWidth="1"/>
    <col min="3" max="3" width="14.44140625" style="83" customWidth="1"/>
    <col min="4" max="4" width="20.109375" style="83" customWidth="1"/>
    <col min="5" max="5" width="16.44140625" style="83" customWidth="1"/>
    <col min="6" max="6" width="25" style="83" customWidth="1"/>
    <col min="7" max="7" width="22" style="115" customWidth="1"/>
    <col min="8" max="8" width="20.44140625" style="83" customWidth="1"/>
    <col min="9" max="11" width="22.44140625" style="83" customWidth="1"/>
    <col min="12" max="24" width="11.44140625" style="81"/>
    <col min="25" max="16384" width="11.44140625" style="83"/>
  </cols>
  <sheetData>
    <row r="1" spans="2:14" ht="37.5" customHeight="1" x14ac:dyDescent="0.25">
      <c r="B1" s="579"/>
      <c r="C1" s="582" t="s">
        <v>1</v>
      </c>
      <c r="D1" s="582"/>
      <c r="E1" s="582"/>
      <c r="F1" s="582"/>
      <c r="G1" s="582"/>
      <c r="H1" s="582"/>
      <c r="I1" s="583"/>
      <c r="J1" s="80"/>
      <c r="K1" s="80"/>
      <c r="M1" s="82" t="s">
        <v>67</v>
      </c>
    </row>
    <row r="2" spans="2:14" ht="37.5" customHeight="1" x14ac:dyDescent="0.25">
      <c r="B2" s="580"/>
      <c r="C2" s="663" t="s">
        <v>218</v>
      </c>
      <c r="D2" s="663"/>
      <c r="E2" s="663"/>
      <c r="F2" s="663"/>
      <c r="G2" s="663"/>
      <c r="H2" s="663"/>
      <c r="I2" s="584"/>
      <c r="J2" s="80"/>
      <c r="K2" s="80"/>
      <c r="M2" s="82" t="s">
        <v>68</v>
      </c>
    </row>
    <row r="3" spans="2:14" ht="37.5" customHeight="1" x14ac:dyDescent="0.25">
      <c r="B3" s="580"/>
      <c r="C3" s="663" t="s">
        <v>219</v>
      </c>
      <c r="D3" s="663"/>
      <c r="E3" s="663"/>
      <c r="F3" s="663" t="s">
        <v>220</v>
      </c>
      <c r="G3" s="663"/>
      <c r="H3" s="663"/>
      <c r="I3" s="584"/>
      <c r="J3" s="80"/>
      <c r="K3" s="80"/>
      <c r="M3" s="82" t="s">
        <v>70</v>
      </c>
    </row>
    <row r="4" spans="2:14" ht="23.25" customHeight="1" x14ac:dyDescent="0.25">
      <c r="B4" s="575" t="s">
        <v>221</v>
      </c>
      <c r="C4" s="576"/>
      <c r="D4" s="576"/>
      <c r="E4" s="576"/>
      <c r="F4" s="576"/>
      <c r="G4" s="576"/>
      <c r="H4" s="576"/>
      <c r="I4" s="577"/>
      <c r="J4" s="84"/>
      <c r="K4" s="84"/>
    </row>
    <row r="5" spans="2:14" ht="24" customHeight="1" x14ac:dyDescent="0.25">
      <c r="B5" s="512" t="s">
        <v>222</v>
      </c>
      <c r="C5" s="513"/>
      <c r="D5" s="513"/>
      <c r="E5" s="513"/>
      <c r="F5" s="513"/>
      <c r="G5" s="513"/>
      <c r="H5" s="513"/>
      <c r="I5" s="514"/>
      <c r="J5" s="85"/>
      <c r="K5" s="85"/>
      <c r="N5" s="86" t="s">
        <v>77</v>
      </c>
    </row>
    <row r="6" spans="2:14" ht="30.75" customHeight="1" x14ac:dyDescent="0.25">
      <c r="B6" s="118" t="s">
        <v>223</v>
      </c>
      <c r="C6" s="173">
        <v>3</v>
      </c>
      <c r="D6" s="578" t="s">
        <v>224</v>
      </c>
      <c r="E6" s="578"/>
      <c r="F6" s="556" t="s">
        <v>318</v>
      </c>
      <c r="G6" s="556"/>
      <c r="H6" s="556"/>
      <c r="I6" s="557"/>
      <c r="J6" s="87"/>
      <c r="K6" s="87"/>
      <c r="M6" s="82" t="s">
        <v>81</v>
      </c>
      <c r="N6" s="86" t="s">
        <v>82</v>
      </c>
    </row>
    <row r="7" spans="2:14" ht="30.75" customHeight="1" x14ac:dyDescent="0.25">
      <c r="B7" s="118" t="s">
        <v>226</v>
      </c>
      <c r="C7" s="173" t="s">
        <v>84</v>
      </c>
      <c r="D7" s="578" t="s">
        <v>227</v>
      </c>
      <c r="E7" s="578"/>
      <c r="F7" s="556" t="s">
        <v>319</v>
      </c>
      <c r="G7" s="556"/>
      <c r="H7" s="135" t="s">
        <v>229</v>
      </c>
      <c r="I7" s="174" t="s">
        <v>84</v>
      </c>
      <c r="J7" s="88"/>
      <c r="K7" s="88"/>
      <c r="M7" s="82" t="s">
        <v>88</v>
      </c>
      <c r="N7" s="86" t="s">
        <v>89</v>
      </c>
    </row>
    <row r="8" spans="2:14" ht="30.75" customHeight="1" x14ac:dyDescent="0.25">
      <c r="B8" s="118" t="s">
        <v>230</v>
      </c>
      <c r="C8" s="556" t="s">
        <v>231</v>
      </c>
      <c r="D8" s="556"/>
      <c r="E8" s="556"/>
      <c r="F8" s="556"/>
      <c r="G8" s="135" t="s">
        <v>232</v>
      </c>
      <c r="H8" s="568">
        <v>7550</v>
      </c>
      <c r="I8" s="569"/>
      <c r="J8" s="89"/>
      <c r="K8" s="89"/>
      <c r="M8" s="82" t="s">
        <v>93</v>
      </c>
      <c r="N8" s="86" t="s">
        <v>44</v>
      </c>
    </row>
    <row r="9" spans="2:14" ht="30.75" customHeight="1" x14ac:dyDescent="0.25">
      <c r="B9" s="118" t="s">
        <v>68</v>
      </c>
      <c r="C9" s="659" t="s">
        <v>93</v>
      </c>
      <c r="D9" s="659"/>
      <c r="E9" s="659"/>
      <c r="F9" s="659"/>
      <c r="G9" s="135" t="s">
        <v>233</v>
      </c>
      <c r="H9" s="571" t="s">
        <v>320</v>
      </c>
      <c r="I9" s="572"/>
      <c r="J9" s="90"/>
      <c r="K9" s="90"/>
      <c r="M9" s="91" t="s">
        <v>97</v>
      </c>
    </row>
    <row r="10" spans="2:14" ht="60.75" customHeight="1" x14ac:dyDescent="0.25">
      <c r="B10" s="118" t="s">
        <v>235</v>
      </c>
      <c r="C10" s="556" t="s">
        <v>321</v>
      </c>
      <c r="D10" s="556"/>
      <c r="E10" s="556"/>
      <c r="F10" s="556"/>
      <c r="G10" s="556"/>
      <c r="H10" s="556"/>
      <c r="I10" s="557"/>
      <c r="J10" s="92"/>
      <c r="K10" s="92"/>
      <c r="M10" s="91"/>
    </row>
    <row r="11" spans="2:14" ht="30.75" customHeight="1" x14ac:dyDescent="0.25">
      <c r="B11" s="118" t="s">
        <v>237</v>
      </c>
      <c r="C11" s="556" t="s">
        <v>238</v>
      </c>
      <c r="D11" s="556"/>
      <c r="E11" s="556"/>
      <c r="F11" s="556"/>
      <c r="G11" s="556"/>
      <c r="H11" s="556"/>
      <c r="I11" s="557"/>
      <c r="J11" s="88"/>
      <c r="K11" s="88"/>
      <c r="M11" s="91"/>
      <c r="N11" s="86" t="s">
        <v>102</v>
      </c>
    </row>
    <row r="12" spans="2:14" ht="30.75" customHeight="1" x14ac:dyDescent="0.25">
      <c r="B12" s="118" t="s">
        <v>239</v>
      </c>
      <c r="C12" s="547" t="s">
        <v>322</v>
      </c>
      <c r="D12" s="547"/>
      <c r="E12" s="547"/>
      <c r="F12" s="547"/>
      <c r="G12" s="135" t="s">
        <v>241</v>
      </c>
      <c r="H12" s="547" t="s">
        <v>106</v>
      </c>
      <c r="I12" s="548"/>
      <c r="J12" s="88"/>
      <c r="K12" s="88"/>
      <c r="M12" s="91" t="s">
        <v>107</v>
      </c>
      <c r="N12" s="86" t="s">
        <v>84</v>
      </c>
    </row>
    <row r="13" spans="2:14" ht="30.75" customHeight="1" x14ac:dyDescent="0.25">
      <c r="B13" s="118" t="s">
        <v>242</v>
      </c>
      <c r="C13" s="660" t="s">
        <v>323</v>
      </c>
      <c r="D13" s="660"/>
      <c r="E13" s="660"/>
      <c r="F13" s="660"/>
      <c r="G13" s="135" t="s">
        <v>244</v>
      </c>
      <c r="H13" s="556" t="s">
        <v>44</v>
      </c>
      <c r="I13" s="557"/>
      <c r="J13" s="88"/>
      <c r="K13" s="88"/>
      <c r="M13" s="91" t="s">
        <v>111</v>
      </c>
    </row>
    <row r="14" spans="2:14" ht="64.5" customHeight="1" x14ac:dyDescent="0.25">
      <c r="B14" s="118" t="s">
        <v>245</v>
      </c>
      <c r="C14" s="661" t="s">
        <v>324</v>
      </c>
      <c r="D14" s="661"/>
      <c r="E14" s="661"/>
      <c r="F14" s="661"/>
      <c r="G14" s="661"/>
      <c r="H14" s="661"/>
      <c r="I14" s="662"/>
      <c r="J14" s="92"/>
      <c r="K14" s="92"/>
      <c r="M14" s="91" t="s">
        <v>114</v>
      </c>
      <c r="N14" s="86"/>
    </row>
    <row r="15" spans="2:14" ht="30.75" customHeight="1" x14ac:dyDescent="0.25">
      <c r="B15" s="118" t="s">
        <v>247</v>
      </c>
      <c r="C15" s="547" t="s">
        <v>325</v>
      </c>
      <c r="D15" s="547"/>
      <c r="E15" s="547"/>
      <c r="F15" s="547"/>
      <c r="G15" s="547"/>
      <c r="H15" s="547"/>
      <c r="I15" s="548"/>
      <c r="J15" s="93"/>
      <c r="K15" s="93"/>
      <c r="M15" s="91" t="s">
        <v>118</v>
      </c>
      <c r="N15" s="86"/>
    </row>
    <row r="16" spans="2:14" ht="20.25" customHeight="1" x14ac:dyDescent="0.25">
      <c r="B16" s="118" t="s">
        <v>249</v>
      </c>
      <c r="C16" s="556" t="s">
        <v>326</v>
      </c>
      <c r="D16" s="556"/>
      <c r="E16" s="556"/>
      <c r="F16" s="556"/>
      <c r="G16" s="556"/>
      <c r="H16" s="556"/>
      <c r="I16" s="557"/>
      <c r="J16" s="94"/>
      <c r="K16" s="94"/>
      <c r="M16" s="91"/>
      <c r="N16" s="86"/>
    </row>
    <row r="17" spans="2:14" ht="30.75" customHeight="1" x14ac:dyDescent="0.25">
      <c r="B17" s="118" t="s">
        <v>251</v>
      </c>
      <c r="C17" s="556" t="s">
        <v>43</v>
      </c>
      <c r="D17" s="657"/>
      <c r="E17" s="657"/>
      <c r="F17" s="657"/>
      <c r="G17" s="657"/>
      <c r="H17" s="657"/>
      <c r="I17" s="658"/>
      <c r="J17" s="95"/>
      <c r="K17" s="95"/>
      <c r="M17" s="91" t="s">
        <v>106</v>
      </c>
      <c r="N17" s="86"/>
    </row>
    <row r="18" spans="2:14" ht="18" customHeight="1" x14ac:dyDescent="0.25">
      <c r="B18" s="552" t="s">
        <v>253</v>
      </c>
      <c r="C18" s="553" t="s">
        <v>254</v>
      </c>
      <c r="D18" s="553"/>
      <c r="E18" s="553"/>
      <c r="F18" s="554" t="s">
        <v>255</v>
      </c>
      <c r="G18" s="554"/>
      <c r="H18" s="554"/>
      <c r="I18" s="555"/>
      <c r="J18" s="96"/>
      <c r="K18" s="96"/>
      <c r="M18" s="91" t="s">
        <v>128</v>
      </c>
      <c r="N18" s="86"/>
    </row>
    <row r="19" spans="2:14" ht="39.75" customHeight="1" x14ac:dyDescent="0.25">
      <c r="B19" s="552"/>
      <c r="C19" s="556" t="s">
        <v>327</v>
      </c>
      <c r="D19" s="556"/>
      <c r="E19" s="556"/>
      <c r="F19" s="556" t="s">
        <v>328</v>
      </c>
      <c r="G19" s="556"/>
      <c r="H19" s="556"/>
      <c r="I19" s="557"/>
      <c r="J19" s="94"/>
      <c r="K19" s="94"/>
      <c r="M19" s="91" t="s">
        <v>132</v>
      </c>
      <c r="N19" s="86"/>
    </row>
    <row r="20" spans="2:14" ht="39.75" customHeight="1" x14ac:dyDescent="0.25">
      <c r="B20" s="118" t="s">
        <v>258</v>
      </c>
      <c r="C20" s="521" t="s">
        <v>43</v>
      </c>
      <c r="D20" s="522"/>
      <c r="E20" s="543"/>
      <c r="F20" s="547" t="s">
        <v>43</v>
      </c>
      <c r="G20" s="547"/>
      <c r="H20" s="547"/>
      <c r="I20" s="548"/>
      <c r="J20" s="88"/>
      <c r="K20" s="88"/>
      <c r="M20" s="91"/>
      <c r="N20" s="86"/>
    </row>
    <row r="21" spans="2:14" ht="42" customHeight="1" x14ac:dyDescent="0.25">
      <c r="B21" s="118" t="s">
        <v>259</v>
      </c>
      <c r="C21" s="563" t="s">
        <v>329</v>
      </c>
      <c r="D21" s="564"/>
      <c r="E21" s="565"/>
      <c r="F21" s="521" t="s">
        <v>330</v>
      </c>
      <c r="G21" s="522"/>
      <c r="H21" s="522"/>
      <c r="I21" s="523"/>
      <c r="J21" s="93"/>
      <c r="K21" s="93"/>
      <c r="M21" s="97"/>
      <c r="N21" s="86"/>
    </row>
    <row r="22" spans="2:14" ht="23.25" customHeight="1" x14ac:dyDescent="0.25">
      <c r="B22" s="118" t="s">
        <v>262</v>
      </c>
      <c r="C22" s="542">
        <v>44197</v>
      </c>
      <c r="D22" s="566"/>
      <c r="E22" s="567"/>
      <c r="F22" s="135" t="s">
        <v>263</v>
      </c>
      <c r="G22" s="234">
        <v>0.4</v>
      </c>
      <c r="H22" s="135" t="s">
        <v>264</v>
      </c>
      <c r="I22" s="235">
        <v>0.5</v>
      </c>
      <c r="J22" s="98"/>
      <c r="K22" s="98"/>
      <c r="M22" s="97"/>
    </row>
    <row r="23" spans="2:14" ht="27" customHeight="1" x14ac:dyDescent="0.25">
      <c r="B23" s="118" t="s">
        <v>265</v>
      </c>
      <c r="C23" s="542">
        <v>44561</v>
      </c>
      <c r="D23" s="522"/>
      <c r="E23" s="543"/>
      <c r="F23" s="135" t="s">
        <v>266</v>
      </c>
      <c r="G23" s="654">
        <v>0.3</v>
      </c>
      <c r="H23" s="655"/>
      <c r="I23" s="656"/>
      <c r="J23" s="99"/>
      <c r="K23" s="99"/>
      <c r="M23" s="97"/>
    </row>
    <row r="24" spans="2:14" ht="30.75" customHeight="1" x14ac:dyDescent="0.25">
      <c r="B24" s="226" t="s">
        <v>267</v>
      </c>
      <c r="C24" s="648" t="s">
        <v>118</v>
      </c>
      <c r="D24" s="649"/>
      <c r="E24" s="650"/>
      <c r="F24" s="227" t="s">
        <v>269</v>
      </c>
      <c r="G24" s="521"/>
      <c r="H24" s="522"/>
      <c r="I24" s="523"/>
      <c r="J24" s="96"/>
      <c r="K24" s="96"/>
      <c r="M24" s="97"/>
    </row>
    <row r="25" spans="2:14" ht="22.5" customHeight="1" x14ac:dyDescent="0.25">
      <c r="B25" s="651" t="s">
        <v>270</v>
      </c>
      <c r="C25" s="652"/>
      <c r="D25" s="652"/>
      <c r="E25" s="652"/>
      <c r="F25" s="652"/>
      <c r="G25" s="652"/>
      <c r="H25" s="652"/>
      <c r="I25" s="653"/>
      <c r="J25" s="85"/>
      <c r="K25" s="85"/>
      <c r="M25" s="97"/>
    </row>
    <row r="26" spans="2:14" ht="43.5" customHeight="1" x14ac:dyDescent="0.25">
      <c r="B26" s="100" t="s">
        <v>148</v>
      </c>
      <c r="C26" s="138" t="s">
        <v>271</v>
      </c>
      <c r="D26" s="138" t="s">
        <v>272</v>
      </c>
      <c r="E26" s="139" t="s">
        <v>273</v>
      </c>
      <c r="F26" s="138" t="s">
        <v>274</v>
      </c>
      <c r="G26" s="138" t="s">
        <v>275</v>
      </c>
      <c r="H26" s="139" t="s">
        <v>331</v>
      </c>
      <c r="I26" s="140" t="s">
        <v>332</v>
      </c>
      <c r="J26" s="94"/>
      <c r="K26" s="94"/>
      <c r="M26" s="97"/>
    </row>
    <row r="27" spans="2:14" ht="19.5" customHeight="1" x14ac:dyDescent="0.25">
      <c r="B27" s="101" t="s">
        <v>157</v>
      </c>
      <c r="C27" s="172">
        <f>9.01%*$G$23</f>
        <v>2.7029999999999998E-2</v>
      </c>
      <c r="D27" s="172">
        <f>9.01%*$G$23</f>
        <v>2.7029999999999998E-2</v>
      </c>
      <c r="E27" s="131">
        <f>+D27/C27</f>
        <v>1</v>
      </c>
      <c r="F27" s="593">
        <f>SUM(C27:C38)</f>
        <v>0.30254999999999993</v>
      </c>
      <c r="G27" s="593">
        <f>SUM(D27:D38)</f>
        <v>0.21037999999999996</v>
      </c>
      <c r="H27" s="233">
        <f>+(D27*100%)/$G$23</f>
        <v>9.01E-2</v>
      </c>
      <c r="I27" s="596">
        <f>G27+I22</f>
        <v>0.71038000000000001</v>
      </c>
      <c r="J27" s="102"/>
      <c r="K27" s="102"/>
      <c r="M27" s="97"/>
    </row>
    <row r="28" spans="2:14" ht="19.5" customHeight="1" x14ac:dyDescent="0.25">
      <c r="B28" s="101" t="s">
        <v>158</v>
      </c>
      <c r="C28" s="172">
        <f>6.4%*$G$23</f>
        <v>1.9199999999999998E-2</v>
      </c>
      <c r="D28" s="172">
        <f>6.4%*$G$23</f>
        <v>1.9199999999999998E-2</v>
      </c>
      <c r="E28" s="131">
        <f t="shared" ref="E28:E38" si="0">+D28/C28</f>
        <v>1</v>
      </c>
      <c r="F28" s="594"/>
      <c r="G28" s="594"/>
      <c r="H28" s="233">
        <f>+IF(D28="","",((D28*100%)/$G$23)+H27)</f>
        <v>0.15410000000000001</v>
      </c>
      <c r="I28" s="597"/>
      <c r="J28" s="102"/>
      <c r="K28" s="102"/>
      <c r="M28" s="97"/>
    </row>
    <row r="29" spans="2:14" ht="19.5" customHeight="1" x14ac:dyDescent="0.25">
      <c r="B29" s="101" t="s">
        <v>159</v>
      </c>
      <c r="C29" s="172">
        <f>5.66%*$G$23</f>
        <v>1.6980000000000002E-2</v>
      </c>
      <c r="D29" s="172">
        <f>5.66%*$G$23</f>
        <v>1.6980000000000002E-2</v>
      </c>
      <c r="E29" s="131">
        <f t="shared" si="0"/>
        <v>1</v>
      </c>
      <c r="F29" s="594"/>
      <c r="G29" s="594"/>
      <c r="H29" s="233">
        <f t="shared" ref="H29:H38" si="1">+IF(D29="","",((D29*100%)/$G$23)+H28)</f>
        <v>0.21070000000000003</v>
      </c>
      <c r="I29" s="597"/>
      <c r="J29" s="102"/>
      <c r="K29" s="102"/>
      <c r="M29" s="97"/>
    </row>
    <row r="30" spans="2:14" ht="19.5" customHeight="1" x14ac:dyDescent="0.25">
      <c r="B30" s="101" t="s">
        <v>160</v>
      </c>
      <c r="C30" s="172">
        <f>10.61%*G23</f>
        <v>3.1829999999999997E-2</v>
      </c>
      <c r="D30" s="172">
        <v>3.1829999999999997E-2</v>
      </c>
      <c r="E30" s="131">
        <f t="shared" si="0"/>
        <v>1</v>
      </c>
      <c r="F30" s="594"/>
      <c r="G30" s="594"/>
      <c r="H30" s="233">
        <f t="shared" si="1"/>
        <v>0.31680000000000003</v>
      </c>
      <c r="I30" s="597"/>
      <c r="J30" s="102"/>
      <c r="K30" s="102"/>
    </row>
    <row r="31" spans="2:14" ht="19.5" customHeight="1" x14ac:dyDescent="0.25">
      <c r="B31" s="101" t="s">
        <v>161</v>
      </c>
      <c r="C31" s="172">
        <f>5.66%*$G$23</f>
        <v>1.6980000000000002E-2</v>
      </c>
      <c r="D31" s="172">
        <f>5.66%*$G$23</f>
        <v>1.6980000000000002E-2</v>
      </c>
      <c r="E31" s="131">
        <f t="shared" si="0"/>
        <v>1</v>
      </c>
      <c r="F31" s="594"/>
      <c r="G31" s="594"/>
      <c r="H31" s="233">
        <f t="shared" si="1"/>
        <v>0.37340000000000007</v>
      </c>
      <c r="I31" s="597"/>
      <c r="J31" s="102"/>
      <c r="K31" s="102"/>
    </row>
    <row r="32" spans="2:14" ht="19.5" customHeight="1" x14ac:dyDescent="0.25">
      <c r="B32" s="101" t="s">
        <v>162</v>
      </c>
      <c r="C32" s="172">
        <f>5.76%*$G$23</f>
        <v>1.728E-2</v>
      </c>
      <c r="D32" s="172">
        <v>0.02</v>
      </c>
      <c r="E32" s="131">
        <f t="shared" si="0"/>
        <v>1.1574074074074074</v>
      </c>
      <c r="F32" s="594"/>
      <c r="G32" s="594"/>
      <c r="H32" s="233">
        <f t="shared" si="1"/>
        <v>0.44006666666666672</v>
      </c>
      <c r="I32" s="597"/>
      <c r="J32" s="102"/>
      <c r="K32" s="102"/>
    </row>
    <row r="33" spans="2:16" ht="19.5" customHeight="1" x14ac:dyDescent="0.25">
      <c r="B33" s="101" t="s">
        <v>163</v>
      </c>
      <c r="C33" s="172">
        <f>11.09%*G23</f>
        <v>3.3270000000000001E-2</v>
      </c>
      <c r="D33" s="172">
        <v>0.03</v>
      </c>
      <c r="E33" s="131">
        <f t="shared" si="0"/>
        <v>0.90171325518485113</v>
      </c>
      <c r="F33" s="594"/>
      <c r="G33" s="594"/>
      <c r="H33" s="233">
        <f t="shared" si="1"/>
        <v>0.54006666666666669</v>
      </c>
      <c r="I33" s="597"/>
      <c r="J33" s="102"/>
      <c r="K33" s="102"/>
    </row>
    <row r="34" spans="2:16" ht="19.5" customHeight="1" x14ac:dyDescent="0.25">
      <c r="B34" s="101" t="s">
        <v>164</v>
      </c>
      <c r="C34" s="172">
        <f>8.76%*G23</f>
        <v>2.6279999999999998E-2</v>
      </c>
      <c r="D34" s="172">
        <f>+C34</f>
        <v>2.6279999999999998E-2</v>
      </c>
      <c r="E34" s="131">
        <f t="shared" si="0"/>
        <v>1</v>
      </c>
      <c r="F34" s="594"/>
      <c r="G34" s="594"/>
      <c r="H34" s="233">
        <f t="shared" si="1"/>
        <v>0.62766666666666671</v>
      </c>
      <c r="I34" s="597"/>
      <c r="J34" s="102"/>
      <c r="K34" s="102"/>
    </row>
    <row r="35" spans="2:16" ht="19.5" customHeight="1" x14ac:dyDescent="0.25">
      <c r="B35" s="101" t="s">
        <v>165</v>
      </c>
      <c r="C35" s="172">
        <f>7.36%*G23</f>
        <v>2.2079999999999999E-2</v>
      </c>
      <c r="D35" s="172">
        <f>7.36%*$G$23</f>
        <v>2.2079999999999999E-2</v>
      </c>
      <c r="E35" s="131">
        <f t="shared" si="0"/>
        <v>1</v>
      </c>
      <c r="F35" s="594"/>
      <c r="G35" s="594"/>
      <c r="H35" s="233">
        <f t="shared" si="1"/>
        <v>0.7012666666666667</v>
      </c>
      <c r="I35" s="597"/>
      <c r="J35" s="102"/>
      <c r="K35" s="102"/>
    </row>
    <row r="36" spans="2:16" ht="19.5" customHeight="1" x14ac:dyDescent="0.25">
      <c r="B36" s="101" t="s">
        <v>166</v>
      </c>
      <c r="C36" s="172">
        <f>17.29%*G23</f>
        <v>5.1869999999999999E-2</v>
      </c>
      <c r="D36" s="172"/>
      <c r="E36" s="131">
        <f t="shared" si="0"/>
        <v>0</v>
      </c>
      <c r="F36" s="594"/>
      <c r="G36" s="594"/>
      <c r="H36" s="233" t="str">
        <f t="shared" si="1"/>
        <v/>
      </c>
      <c r="I36" s="597"/>
      <c r="J36" s="102"/>
      <c r="K36" s="102"/>
    </row>
    <row r="37" spans="2:16" ht="19.5" customHeight="1" x14ac:dyDescent="0.25">
      <c r="B37" s="101" t="s">
        <v>167</v>
      </c>
      <c r="C37" s="172">
        <f>7.9%*G23</f>
        <v>2.3699999999999999E-2</v>
      </c>
      <c r="D37" s="172"/>
      <c r="E37" s="131">
        <f t="shared" si="0"/>
        <v>0</v>
      </c>
      <c r="F37" s="594"/>
      <c r="G37" s="594"/>
      <c r="H37" s="233" t="str">
        <f t="shared" si="1"/>
        <v/>
      </c>
      <c r="I37" s="597"/>
      <c r="J37" s="102"/>
      <c r="K37" s="102"/>
    </row>
    <row r="38" spans="2:16" ht="19.5" customHeight="1" x14ac:dyDescent="0.25">
      <c r="B38" s="101" t="s">
        <v>168</v>
      </c>
      <c r="C38" s="172">
        <f>5.35%*G23</f>
        <v>1.6049999999999998E-2</v>
      </c>
      <c r="D38" s="172"/>
      <c r="E38" s="131">
        <f t="shared" si="0"/>
        <v>0</v>
      </c>
      <c r="F38" s="595"/>
      <c r="G38" s="595"/>
      <c r="H38" s="233" t="str">
        <f t="shared" si="1"/>
        <v/>
      </c>
      <c r="I38" s="598"/>
      <c r="J38" s="102"/>
      <c r="K38" s="102"/>
    </row>
    <row r="39" spans="2:16" ht="231" customHeight="1" x14ac:dyDescent="0.25">
      <c r="B39" s="119" t="s">
        <v>280</v>
      </c>
      <c r="C39" s="631" t="s">
        <v>460</v>
      </c>
      <c r="D39" s="632"/>
      <c r="E39" s="632"/>
      <c r="F39" s="632"/>
      <c r="G39" s="632"/>
      <c r="H39" s="632"/>
      <c r="I39" s="633"/>
      <c r="J39" s="103"/>
      <c r="K39" s="103"/>
    </row>
    <row r="40" spans="2:16" ht="34.5" customHeight="1" x14ac:dyDescent="0.25">
      <c r="B40" s="527"/>
      <c r="C40" s="528"/>
      <c r="D40" s="528"/>
      <c r="E40" s="528"/>
      <c r="F40" s="528"/>
      <c r="G40" s="528"/>
      <c r="H40" s="528"/>
      <c r="I40" s="529"/>
      <c r="J40" s="85"/>
      <c r="K40" s="85"/>
    </row>
    <row r="41" spans="2:16" ht="34.5" customHeight="1" x14ac:dyDescent="0.25">
      <c r="B41" s="530"/>
      <c r="C41" s="531"/>
      <c r="D41" s="531"/>
      <c r="E41" s="531"/>
      <c r="F41" s="531"/>
      <c r="G41" s="531"/>
      <c r="H41" s="531"/>
      <c r="I41" s="532"/>
      <c r="J41" s="103"/>
      <c r="K41" s="103"/>
    </row>
    <row r="42" spans="2:16" ht="34.5" customHeight="1" x14ac:dyDescent="0.25">
      <c r="B42" s="530"/>
      <c r="C42" s="531"/>
      <c r="D42" s="531"/>
      <c r="E42" s="531"/>
      <c r="F42" s="531"/>
      <c r="G42" s="531"/>
      <c r="H42" s="531"/>
      <c r="I42" s="532"/>
      <c r="J42" s="103"/>
      <c r="K42" s="103"/>
    </row>
    <row r="43" spans="2:16" ht="34.5" customHeight="1" x14ac:dyDescent="0.25">
      <c r="B43" s="530"/>
      <c r="C43" s="531"/>
      <c r="D43" s="531"/>
      <c r="E43" s="531"/>
      <c r="F43" s="531"/>
      <c r="G43" s="531"/>
      <c r="H43" s="531"/>
      <c r="I43" s="532"/>
      <c r="J43" s="103"/>
      <c r="K43" s="103"/>
    </row>
    <row r="44" spans="2:16" ht="34.5" customHeight="1" x14ac:dyDescent="0.25">
      <c r="B44" s="533"/>
      <c r="C44" s="534"/>
      <c r="D44" s="534"/>
      <c r="E44" s="534"/>
      <c r="F44" s="534"/>
      <c r="G44" s="534"/>
      <c r="H44" s="534"/>
      <c r="I44" s="535"/>
      <c r="J44" s="84"/>
      <c r="K44" s="84"/>
    </row>
    <row r="45" spans="2:16" ht="223.2" customHeight="1" x14ac:dyDescent="0.25">
      <c r="B45" s="118" t="s">
        <v>281</v>
      </c>
      <c r="C45" s="634" t="s">
        <v>460</v>
      </c>
      <c r="D45" s="635"/>
      <c r="E45" s="635"/>
      <c r="F45" s="635"/>
      <c r="G45" s="635"/>
      <c r="H45" s="635"/>
      <c r="I45" s="636"/>
      <c r="J45" s="282"/>
      <c r="K45" s="284"/>
      <c r="L45" s="284"/>
      <c r="M45" s="284"/>
      <c r="N45" s="284"/>
      <c r="O45" s="284"/>
      <c r="P45" s="284"/>
    </row>
    <row r="46" spans="2:16" ht="32.25" customHeight="1" x14ac:dyDescent="0.25">
      <c r="B46" s="118" t="s">
        <v>282</v>
      </c>
      <c r="C46" s="637" t="s">
        <v>333</v>
      </c>
      <c r="D46" s="638"/>
      <c r="E46" s="638"/>
      <c r="F46" s="638"/>
      <c r="G46" s="638"/>
      <c r="H46" s="638"/>
      <c r="I46" s="639"/>
      <c r="J46" s="283"/>
      <c r="K46" s="285"/>
      <c r="L46" s="285"/>
      <c r="M46" s="285"/>
      <c r="N46" s="285"/>
      <c r="O46" s="285"/>
      <c r="P46" s="285"/>
    </row>
    <row r="47" spans="2:16" ht="96.6" customHeight="1" x14ac:dyDescent="0.25">
      <c r="B47" s="120" t="s">
        <v>283</v>
      </c>
      <c r="C47" s="640" t="s">
        <v>334</v>
      </c>
      <c r="D47" s="641"/>
      <c r="E47" s="641"/>
      <c r="F47" s="641"/>
      <c r="G47" s="641"/>
      <c r="H47" s="641"/>
      <c r="I47" s="642"/>
      <c r="J47" s="286"/>
      <c r="K47" s="287"/>
      <c r="L47" s="287"/>
      <c r="M47" s="287"/>
      <c r="N47" s="287"/>
      <c r="O47" s="287"/>
      <c r="P47" s="287"/>
    </row>
    <row r="48" spans="2:16" ht="22.5" customHeight="1" x14ac:dyDescent="0.25">
      <c r="B48" s="651" t="s">
        <v>284</v>
      </c>
      <c r="C48" s="652"/>
      <c r="D48" s="652"/>
      <c r="E48" s="652"/>
      <c r="F48" s="652"/>
      <c r="G48" s="652"/>
      <c r="H48" s="652"/>
      <c r="I48" s="653"/>
      <c r="J48" s="286"/>
      <c r="K48" s="287"/>
      <c r="L48" s="287"/>
      <c r="M48" s="287"/>
      <c r="N48" s="287"/>
      <c r="O48" s="287"/>
      <c r="P48" s="287"/>
    </row>
    <row r="49" spans="2:16" ht="55.2" customHeight="1" x14ac:dyDescent="0.25">
      <c r="B49" s="508" t="s">
        <v>285</v>
      </c>
      <c r="C49" s="141" t="s">
        <v>335</v>
      </c>
      <c r="D49" s="510" t="s">
        <v>287</v>
      </c>
      <c r="E49" s="510"/>
      <c r="F49" s="510"/>
      <c r="G49" s="510" t="s">
        <v>288</v>
      </c>
      <c r="H49" s="510"/>
      <c r="I49" s="511"/>
      <c r="J49" s="288"/>
      <c r="K49" s="289"/>
      <c r="L49" s="289"/>
      <c r="M49" s="289"/>
      <c r="N49" s="289"/>
      <c r="O49" s="289"/>
      <c r="P49" s="289"/>
    </row>
    <row r="50" spans="2:16" ht="30.75" customHeight="1" x14ac:dyDescent="0.25">
      <c r="B50" s="509"/>
      <c r="C50" s="236"/>
      <c r="D50" s="588"/>
      <c r="E50" s="588"/>
      <c r="F50" s="588"/>
      <c r="G50" s="588"/>
      <c r="H50" s="588"/>
      <c r="I50" s="589"/>
      <c r="J50" s="105"/>
      <c r="K50" s="105"/>
    </row>
    <row r="51" spans="2:16" ht="32.25" customHeight="1" x14ac:dyDescent="0.25">
      <c r="B51" s="121" t="s">
        <v>289</v>
      </c>
      <c r="C51" s="643" t="s">
        <v>336</v>
      </c>
      <c r="D51" s="643"/>
      <c r="E51" s="643"/>
      <c r="F51" s="643"/>
      <c r="G51" s="643"/>
      <c r="H51" s="643"/>
      <c r="I51" s="644"/>
      <c r="J51" s="106"/>
      <c r="K51" s="106"/>
    </row>
    <row r="52" spans="2:16" ht="28.5" customHeight="1" x14ac:dyDescent="0.25">
      <c r="B52" s="122" t="s">
        <v>291</v>
      </c>
      <c r="C52" s="643" t="s">
        <v>336</v>
      </c>
      <c r="D52" s="643"/>
      <c r="E52" s="643"/>
      <c r="F52" s="643"/>
      <c r="G52" s="643"/>
      <c r="H52" s="643"/>
      <c r="I52" s="644"/>
      <c r="J52" s="106"/>
      <c r="K52" s="106"/>
    </row>
    <row r="53" spans="2:16" ht="30" customHeight="1" x14ac:dyDescent="0.25">
      <c r="B53" s="120" t="s">
        <v>292</v>
      </c>
      <c r="C53" s="645" t="s">
        <v>461</v>
      </c>
      <c r="D53" s="646"/>
      <c r="E53" s="646"/>
      <c r="F53" s="646"/>
      <c r="G53" s="646"/>
      <c r="H53" s="646"/>
      <c r="I53" s="647"/>
      <c r="J53" s="107" t="s">
        <v>446</v>
      </c>
      <c r="K53" s="107"/>
    </row>
    <row r="54" spans="2:16" ht="31.5" customHeight="1" thickBot="1" x14ac:dyDescent="0.3">
      <c r="B54" s="116" t="s">
        <v>294</v>
      </c>
      <c r="C54" s="645" t="s">
        <v>461</v>
      </c>
      <c r="D54" s="646"/>
      <c r="E54" s="646"/>
      <c r="F54" s="646"/>
      <c r="G54" s="646"/>
      <c r="H54" s="646"/>
      <c r="I54" s="647"/>
      <c r="J54" s="108"/>
      <c r="K54" s="108"/>
    </row>
    <row r="55" spans="2:16" ht="12.75" customHeight="1" x14ac:dyDescent="0.25">
      <c r="B55" s="109"/>
      <c r="C55" s="110"/>
      <c r="D55" s="110"/>
      <c r="E55" s="111"/>
      <c r="F55" s="111"/>
      <c r="G55" s="112"/>
      <c r="H55" s="113"/>
      <c r="I55" s="110"/>
      <c r="J55" s="108" t="s">
        <v>447</v>
      </c>
      <c r="K55" s="108"/>
    </row>
    <row r="56" spans="2:16" x14ac:dyDescent="0.25">
      <c r="B56" s="109"/>
      <c r="C56" s="110"/>
      <c r="D56" s="110"/>
      <c r="E56" s="111"/>
      <c r="F56" s="111"/>
      <c r="G56" s="112"/>
      <c r="H56" s="113"/>
      <c r="I56" s="110"/>
      <c r="J56" s="108"/>
      <c r="K56" s="108"/>
    </row>
    <row r="57" spans="2:16" x14ac:dyDescent="0.25">
      <c r="B57" s="109"/>
      <c r="C57" s="110"/>
      <c r="D57" s="110"/>
      <c r="E57" s="111"/>
      <c r="F57" s="111"/>
      <c r="G57" s="112"/>
      <c r="H57" s="113"/>
      <c r="I57" s="110"/>
      <c r="J57" s="108"/>
      <c r="K57" s="108"/>
    </row>
    <row r="58" spans="2:16" x14ac:dyDescent="0.25">
      <c r="B58" s="109"/>
      <c r="C58" s="110"/>
      <c r="D58" s="110"/>
      <c r="E58" s="111"/>
      <c r="F58" s="111"/>
      <c r="G58" s="112"/>
      <c r="H58" s="113"/>
      <c r="I58" s="110"/>
      <c r="J58" s="108"/>
      <c r="K58" s="108"/>
    </row>
    <row r="59" spans="2:16" x14ac:dyDescent="0.25">
      <c r="B59" s="109"/>
      <c r="C59" s="110"/>
      <c r="D59" s="110"/>
      <c r="E59" s="111"/>
      <c r="F59" s="111"/>
      <c r="G59" s="112"/>
      <c r="H59" s="113"/>
      <c r="I59" s="110"/>
      <c r="J59" s="108"/>
      <c r="K59" s="108"/>
    </row>
    <row r="60" spans="2:16" ht="25.5" customHeight="1" x14ac:dyDescent="0.25">
      <c r="B60" s="109"/>
      <c r="C60" s="110"/>
      <c r="D60" s="110"/>
      <c r="E60" s="111"/>
      <c r="F60" s="111"/>
      <c r="G60" s="112"/>
      <c r="H60" s="113"/>
      <c r="I60" s="110"/>
      <c r="J60" s="108"/>
      <c r="K60" s="108"/>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B40:I44"/>
    <mergeCell ref="C39:I39"/>
    <mergeCell ref="C45:I45"/>
    <mergeCell ref="C46:I46"/>
    <mergeCell ref="C47:I47"/>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9"/>
  <sheetViews>
    <sheetView view="pageBreakPreview" topLeftCell="A29" zoomScaleNormal="100" zoomScaleSheetLayoutView="100" workbookViewId="0">
      <selection activeCell="C36" sqref="C36:D36"/>
    </sheetView>
  </sheetViews>
  <sheetFormatPr baseColWidth="10" defaultColWidth="11.44140625" defaultRowHeight="13.2" x14ac:dyDescent="0.25"/>
  <cols>
    <col min="1" max="1" width="1" style="7" customWidth="1"/>
    <col min="2" max="2" width="25.44140625" style="8" customWidth="1"/>
    <col min="3" max="3" width="14.44140625" style="7" customWidth="1"/>
    <col min="4" max="4" width="20.109375" style="7" customWidth="1"/>
    <col min="5" max="5" width="16.44140625" style="7" customWidth="1"/>
    <col min="6" max="6" width="25" style="7" customWidth="1"/>
    <col min="7" max="7" width="26.33203125" style="9" customWidth="1"/>
    <col min="8" max="8" width="20.44140625" style="7" customWidth="1"/>
    <col min="9" max="11" width="22.44140625" style="7" customWidth="1"/>
    <col min="12" max="24" width="11.44140625" style="3"/>
    <col min="25" max="16384" width="11.44140625" style="7"/>
  </cols>
  <sheetData>
    <row r="1" spans="2:14" ht="37.5" customHeight="1" x14ac:dyDescent="0.25">
      <c r="B1" s="579"/>
      <c r="C1" s="582" t="s">
        <v>1</v>
      </c>
      <c r="D1" s="582"/>
      <c r="E1" s="582"/>
      <c r="F1" s="582"/>
      <c r="G1" s="582"/>
      <c r="H1" s="582"/>
      <c r="I1" s="583"/>
      <c r="J1" s="10"/>
      <c r="K1" s="10"/>
      <c r="M1" s="11" t="s">
        <v>67</v>
      </c>
    </row>
    <row r="2" spans="2:14" ht="37.5" customHeight="1" x14ac:dyDescent="0.25">
      <c r="B2" s="580"/>
      <c r="C2" s="663" t="s">
        <v>218</v>
      </c>
      <c r="D2" s="663"/>
      <c r="E2" s="663"/>
      <c r="F2" s="663"/>
      <c r="G2" s="663"/>
      <c r="H2" s="663"/>
      <c r="I2" s="584"/>
      <c r="J2" s="10"/>
      <c r="K2" s="10"/>
      <c r="M2" s="11" t="s">
        <v>68</v>
      </c>
    </row>
    <row r="3" spans="2:14" ht="37.5" customHeight="1" x14ac:dyDescent="0.25">
      <c r="B3" s="580"/>
      <c r="C3" s="663" t="s">
        <v>219</v>
      </c>
      <c r="D3" s="663"/>
      <c r="E3" s="663"/>
      <c r="F3" s="663" t="s">
        <v>220</v>
      </c>
      <c r="G3" s="663"/>
      <c r="H3" s="663"/>
      <c r="I3" s="584"/>
      <c r="J3" s="10"/>
      <c r="K3" s="10"/>
      <c r="M3" s="11" t="s">
        <v>70</v>
      </c>
    </row>
    <row r="4" spans="2:14" ht="23.25" customHeight="1" x14ac:dyDescent="0.25">
      <c r="B4" s="575" t="s">
        <v>221</v>
      </c>
      <c r="C4" s="576"/>
      <c r="D4" s="576"/>
      <c r="E4" s="576"/>
      <c r="F4" s="576"/>
      <c r="G4" s="576"/>
      <c r="H4" s="576"/>
      <c r="I4" s="577"/>
      <c r="J4" s="12"/>
      <c r="K4" s="12"/>
    </row>
    <row r="5" spans="2:14" ht="24" customHeight="1" x14ac:dyDescent="0.25">
      <c r="B5" s="512" t="s">
        <v>222</v>
      </c>
      <c r="C5" s="513"/>
      <c r="D5" s="513"/>
      <c r="E5" s="513"/>
      <c r="F5" s="513"/>
      <c r="G5" s="513"/>
      <c r="H5" s="513"/>
      <c r="I5" s="514"/>
      <c r="J5" s="40"/>
      <c r="K5" s="40"/>
      <c r="N5" s="6" t="s">
        <v>77</v>
      </c>
    </row>
    <row r="6" spans="2:14" ht="30.75" customHeight="1" x14ac:dyDescent="0.25">
      <c r="B6" s="118" t="s">
        <v>223</v>
      </c>
      <c r="C6" s="237">
        <v>4</v>
      </c>
      <c r="D6" s="578" t="s">
        <v>224</v>
      </c>
      <c r="E6" s="578"/>
      <c r="F6" s="702" t="s">
        <v>337</v>
      </c>
      <c r="G6" s="702"/>
      <c r="H6" s="702"/>
      <c r="I6" s="703"/>
      <c r="J6" s="14"/>
      <c r="K6" s="14"/>
      <c r="M6" s="11" t="s">
        <v>81</v>
      </c>
      <c r="N6" s="6" t="s">
        <v>82</v>
      </c>
    </row>
    <row r="7" spans="2:14" ht="30.75" customHeight="1" x14ac:dyDescent="0.25">
      <c r="B7" s="118" t="s">
        <v>226</v>
      </c>
      <c r="C7" s="237" t="s">
        <v>84</v>
      </c>
      <c r="D7" s="578" t="s">
        <v>227</v>
      </c>
      <c r="E7" s="578"/>
      <c r="F7" s="704" t="s">
        <v>319</v>
      </c>
      <c r="G7" s="704"/>
      <c r="H7" s="135" t="s">
        <v>229</v>
      </c>
      <c r="I7" s="238" t="s">
        <v>84</v>
      </c>
      <c r="J7" s="15"/>
      <c r="K7" s="15"/>
      <c r="M7" s="11" t="s">
        <v>88</v>
      </c>
      <c r="N7" s="6" t="s">
        <v>89</v>
      </c>
    </row>
    <row r="8" spans="2:14" ht="30.75" customHeight="1" x14ac:dyDescent="0.25">
      <c r="B8" s="118" t="s">
        <v>230</v>
      </c>
      <c r="C8" s="702" t="s">
        <v>231</v>
      </c>
      <c r="D8" s="702"/>
      <c r="E8" s="702"/>
      <c r="F8" s="702"/>
      <c r="G8" s="135" t="s">
        <v>232</v>
      </c>
      <c r="H8" s="719">
        <v>7550</v>
      </c>
      <c r="I8" s="720"/>
      <c r="J8" s="16"/>
      <c r="K8" s="16"/>
      <c r="M8" s="11" t="s">
        <v>93</v>
      </c>
      <c r="N8" s="6" t="s">
        <v>44</v>
      </c>
    </row>
    <row r="9" spans="2:14" ht="30.75" customHeight="1" x14ac:dyDescent="0.25">
      <c r="B9" s="118" t="s">
        <v>68</v>
      </c>
      <c r="C9" s="721" t="s">
        <v>93</v>
      </c>
      <c r="D9" s="721"/>
      <c r="E9" s="721"/>
      <c r="F9" s="721"/>
      <c r="G9" s="135" t="s">
        <v>233</v>
      </c>
      <c r="H9" s="722" t="s">
        <v>320</v>
      </c>
      <c r="I9" s="723"/>
      <c r="J9" s="17"/>
      <c r="K9" s="17"/>
      <c r="M9" s="18" t="s">
        <v>97</v>
      </c>
    </row>
    <row r="10" spans="2:14" ht="30.75" customHeight="1" x14ac:dyDescent="0.25">
      <c r="B10" s="118" t="s">
        <v>235</v>
      </c>
      <c r="C10" s="702" t="s">
        <v>338</v>
      </c>
      <c r="D10" s="702"/>
      <c r="E10" s="702"/>
      <c r="F10" s="702"/>
      <c r="G10" s="702"/>
      <c r="H10" s="702"/>
      <c r="I10" s="703"/>
      <c r="J10" s="19"/>
      <c r="K10" s="19"/>
      <c r="M10" s="18"/>
    </row>
    <row r="11" spans="2:14" ht="30.75" customHeight="1" x14ac:dyDescent="0.25">
      <c r="B11" s="118" t="s">
        <v>237</v>
      </c>
      <c r="C11" s="704" t="s">
        <v>238</v>
      </c>
      <c r="D11" s="704"/>
      <c r="E11" s="704"/>
      <c r="F11" s="704"/>
      <c r="G11" s="704"/>
      <c r="H11" s="704"/>
      <c r="I11" s="724"/>
      <c r="J11" s="15"/>
      <c r="K11" s="15"/>
      <c r="M11" s="18"/>
      <c r="N11" s="6" t="s">
        <v>102</v>
      </c>
    </row>
    <row r="12" spans="2:14" ht="30.75" customHeight="1" x14ac:dyDescent="0.25">
      <c r="B12" s="118" t="s">
        <v>239</v>
      </c>
      <c r="C12" s="725" t="s">
        <v>339</v>
      </c>
      <c r="D12" s="725"/>
      <c r="E12" s="725"/>
      <c r="F12" s="725"/>
      <c r="G12" s="135" t="s">
        <v>241</v>
      </c>
      <c r="H12" s="710" t="s">
        <v>106</v>
      </c>
      <c r="I12" s="711"/>
      <c r="J12" s="15"/>
      <c r="K12" s="15"/>
      <c r="M12" s="18" t="s">
        <v>107</v>
      </c>
      <c r="N12" s="6" t="s">
        <v>84</v>
      </c>
    </row>
    <row r="13" spans="2:14" ht="30.75" customHeight="1" x14ac:dyDescent="0.25">
      <c r="B13" s="118" t="s">
        <v>242</v>
      </c>
      <c r="C13" s="726" t="s">
        <v>323</v>
      </c>
      <c r="D13" s="726"/>
      <c r="E13" s="726"/>
      <c r="F13" s="726"/>
      <c r="G13" s="135" t="s">
        <v>244</v>
      </c>
      <c r="H13" s="704" t="s">
        <v>44</v>
      </c>
      <c r="I13" s="724"/>
      <c r="J13" s="15"/>
      <c r="K13" s="15"/>
      <c r="M13" s="18" t="s">
        <v>111</v>
      </c>
    </row>
    <row r="14" spans="2:14" ht="64.5" customHeight="1" x14ac:dyDescent="0.25">
      <c r="B14" s="118" t="s">
        <v>245</v>
      </c>
      <c r="C14" s="727" t="s">
        <v>340</v>
      </c>
      <c r="D14" s="727"/>
      <c r="E14" s="727"/>
      <c r="F14" s="727"/>
      <c r="G14" s="727"/>
      <c r="H14" s="727"/>
      <c r="I14" s="728"/>
      <c r="J14" s="19"/>
      <c r="K14" s="19"/>
      <c r="M14" s="18" t="s">
        <v>114</v>
      </c>
      <c r="N14" s="6"/>
    </row>
    <row r="15" spans="2:14" ht="30.75" customHeight="1" x14ac:dyDescent="0.25">
      <c r="B15" s="118" t="s">
        <v>247</v>
      </c>
      <c r="C15" s="717" t="s">
        <v>248</v>
      </c>
      <c r="D15" s="717"/>
      <c r="E15" s="717"/>
      <c r="F15" s="717"/>
      <c r="G15" s="717"/>
      <c r="H15" s="717"/>
      <c r="I15" s="718"/>
      <c r="J15" s="20"/>
      <c r="K15" s="20"/>
      <c r="M15" s="18" t="s">
        <v>118</v>
      </c>
      <c r="N15" s="6"/>
    </row>
    <row r="16" spans="2:14" ht="20.25" customHeight="1" x14ac:dyDescent="0.25">
      <c r="B16" s="118" t="s">
        <v>249</v>
      </c>
      <c r="C16" s="702" t="s">
        <v>341</v>
      </c>
      <c r="D16" s="702"/>
      <c r="E16" s="702"/>
      <c r="F16" s="702"/>
      <c r="G16" s="702"/>
      <c r="H16" s="702"/>
      <c r="I16" s="703"/>
      <c r="J16" s="21"/>
      <c r="K16" s="21"/>
      <c r="M16" s="18"/>
      <c r="N16" s="6"/>
    </row>
    <row r="17" spans="2:14" ht="30.75" customHeight="1" x14ac:dyDescent="0.25">
      <c r="B17" s="118" t="s">
        <v>251</v>
      </c>
      <c r="C17" s="704" t="s">
        <v>43</v>
      </c>
      <c r="D17" s="705"/>
      <c r="E17" s="705"/>
      <c r="F17" s="705"/>
      <c r="G17" s="705"/>
      <c r="H17" s="705"/>
      <c r="I17" s="706"/>
      <c r="J17" s="22"/>
      <c r="K17" s="22"/>
      <c r="M17" s="18" t="s">
        <v>106</v>
      </c>
      <c r="N17" s="6"/>
    </row>
    <row r="18" spans="2:14" ht="18" customHeight="1" x14ac:dyDescent="0.25">
      <c r="B18" s="552" t="s">
        <v>253</v>
      </c>
      <c r="C18" s="553" t="s">
        <v>254</v>
      </c>
      <c r="D18" s="553"/>
      <c r="E18" s="553"/>
      <c r="F18" s="554" t="s">
        <v>255</v>
      </c>
      <c r="G18" s="554"/>
      <c r="H18" s="554"/>
      <c r="I18" s="555"/>
      <c r="J18" s="23"/>
      <c r="K18" s="23"/>
      <c r="M18" s="18" t="s">
        <v>128</v>
      </c>
      <c r="N18" s="6"/>
    </row>
    <row r="19" spans="2:14" ht="39.75" customHeight="1" x14ac:dyDescent="0.25">
      <c r="B19" s="552"/>
      <c r="C19" s="702" t="s">
        <v>342</v>
      </c>
      <c r="D19" s="702"/>
      <c r="E19" s="702"/>
      <c r="F19" s="702" t="s">
        <v>343</v>
      </c>
      <c r="G19" s="702"/>
      <c r="H19" s="702"/>
      <c r="I19" s="703"/>
      <c r="J19" s="21"/>
      <c r="K19" s="21"/>
      <c r="M19" s="18" t="s">
        <v>132</v>
      </c>
      <c r="N19" s="6"/>
    </row>
    <row r="20" spans="2:14" ht="39.75" customHeight="1" x14ac:dyDescent="0.25">
      <c r="B20" s="118" t="s">
        <v>258</v>
      </c>
      <c r="C20" s="707" t="s">
        <v>43</v>
      </c>
      <c r="D20" s="708"/>
      <c r="E20" s="709"/>
      <c r="F20" s="710" t="s">
        <v>43</v>
      </c>
      <c r="G20" s="710"/>
      <c r="H20" s="710"/>
      <c r="I20" s="711"/>
      <c r="J20" s="15"/>
      <c r="K20" s="15"/>
      <c r="M20" s="18"/>
      <c r="N20" s="6"/>
    </row>
    <row r="21" spans="2:14" ht="42" customHeight="1" x14ac:dyDescent="0.25">
      <c r="B21" s="118" t="s">
        <v>259</v>
      </c>
      <c r="C21" s="712" t="s">
        <v>344</v>
      </c>
      <c r="D21" s="713"/>
      <c r="E21" s="714"/>
      <c r="F21" s="688" t="s">
        <v>345</v>
      </c>
      <c r="G21" s="689"/>
      <c r="H21" s="689"/>
      <c r="I21" s="690"/>
      <c r="J21" s="20"/>
      <c r="K21" s="20"/>
      <c r="M21" s="24"/>
      <c r="N21" s="6"/>
    </row>
    <row r="22" spans="2:14" ht="23.25" customHeight="1" x14ac:dyDescent="0.25">
      <c r="B22" s="118" t="s">
        <v>262</v>
      </c>
      <c r="C22" s="697">
        <v>44197</v>
      </c>
      <c r="D22" s="715"/>
      <c r="E22" s="716"/>
      <c r="F22" s="135" t="s">
        <v>263</v>
      </c>
      <c r="G22" s="239">
        <v>10</v>
      </c>
      <c r="H22" s="135" t="s">
        <v>264</v>
      </c>
      <c r="I22" s="240">
        <v>10</v>
      </c>
      <c r="J22" s="25"/>
      <c r="K22" s="25"/>
      <c r="M22" s="24"/>
    </row>
    <row r="23" spans="2:14" ht="27" customHeight="1" x14ac:dyDescent="0.25">
      <c r="B23" s="118" t="s">
        <v>265</v>
      </c>
      <c r="C23" s="697">
        <v>44561</v>
      </c>
      <c r="D23" s="689"/>
      <c r="E23" s="698"/>
      <c r="F23" s="135" t="s">
        <v>266</v>
      </c>
      <c r="G23" s="699">
        <v>0.3</v>
      </c>
      <c r="H23" s="700"/>
      <c r="I23" s="701"/>
      <c r="J23" s="26"/>
      <c r="K23" s="26"/>
      <c r="M23" s="24"/>
    </row>
    <row r="24" spans="2:14" ht="30.75" customHeight="1" x14ac:dyDescent="0.25">
      <c r="B24" s="226" t="s">
        <v>267</v>
      </c>
      <c r="C24" s="685" t="s">
        <v>118</v>
      </c>
      <c r="D24" s="686"/>
      <c r="E24" s="687"/>
      <c r="F24" s="227" t="s">
        <v>269</v>
      </c>
      <c r="G24" s="688"/>
      <c r="H24" s="689"/>
      <c r="I24" s="690"/>
      <c r="J24" s="23"/>
      <c r="K24" s="23"/>
      <c r="M24" s="24"/>
    </row>
    <row r="25" spans="2:14" ht="22.5" customHeight="1" x14ac:dyDescent="0.25">
      <c r="B25" s="651" t="s">
        <v>270</v>
      </c>
      <c r="C25" s="652"/>
      <c r="D25" s="652"/>
      <c r="E25" s="652"/>
      <c r="F25" s="652"/>
      <c r="G25" s="652"/>
      <c r="H25" s="652"/>
      <c r="I25" s="653"/>
      <c r="J25" s="40"/>
      <c r="K25" s="40"/>
      <c r="M25" s="24"/>
    </row>
    <row r="26" spans="2:14" ht="43.5" customHeight="1" x14ac:dyDescent="0.25">
      <c r="B26" s="100" t="s">
        <v>148</v>
      </c>
      <c r="C26" s="138" t="s">
        <v>271</v>
      </c>
      <c r="D26" s="138" t="s">
        <v>272</v>
      </c>
      <c r="E26" s="139" t="s">
        <v>273</v>
      </c>
      <c r="F26" s="138" t="s">
        <v>274</v>
      </c>
      <c r="G26" s="138" t="s">
        <v>275</v>
      </c>
      <c r="H26" s="139" t="s">
        <v>331</v>
      </c>
      <c r="I26" s="140" t="s">
        <v>277</v>
      </c>
      <c r="M26" s="24"/>
    </row>
    <row r="27" spans="2:14" ht="19.5" customHeight="1" x14ac:dyDescent="0.25">
      <c r="B27" s="101" t="s">
        <v>157</v>
      </c>
      <c r="C27" s="171">
        <v>0.09</v>
      </c>
      <c r="D27" s="171">
        <v>0.09</v>
      </c>
      <c r="E27" s="131">
        <f>D27/C27</f>
        <v>1</v>
      </c>
      <c r="F27" s="691">
        <f>SUM(C27:C38)</f>
        <v>0.30001000000000005</v>
      </c>
      <c r="G27" s="691">
        <f>SUM(D27:D38)</f>
        <v>0.25717999999999996</v>
      </c>
      <c r="H27" s="242">
        <f>+(D27*100%)/$G$23</f>
        <v>0.3</v>
      </c>
      <c r="I27" s="694">
        <f>G27+I22</f>
        <v>10.25718</v>
      </c>
      <c r="M27" s="24"/>
    </row>
    <row r="28" spans="2:14" ht="19.5" customHeight="1" x14ac:dyDescent="0.25">
      <c r="B28" s="101" t="s">
        <v>158</v>
      </c>
      <c r="C28" s="171">
        <v>0.01</v>
      </c>
      <c r="D28" s="171">
        <v>0.01</v>
      </c>
      <c r="E28" s="131">
        <f t="shared" ref="E28:E31" si="0">D28/C28</f>
        <v>1</v>
      </c>
      <c r="F28" s="692"/>
      <c r="G28" s="692"/>
      <c r="H28" s="242">
        <f>+IF(D28="","",((D28*100%)/$G$23)+H27)</f>
        <v>0.33333333333333331</v>
      </c>
      <c r="I28" s="695"/>
      <c r="M28" s="24"/>
    </row>
    <row r="29" spans="2:14" ht="19.5" customHeight="1" x14ac:dyDescent="0.25">
      <c r="B29" s="101" t="s">
        <v>159</v>
      </c>
      <c r="C29" s="171">
        <v>0.01</v>
      </c>
      <c r="D29" s="171">
        <v>0.01</v>
      </c>
      <c r="E29" s="131">
        <f t="shared" si="0"/>
        <v>1</v>
      </c>
      <c r="F29" s="692"/>
      <c r="G29" s="692"/>
      <c r="H29" s="242">
        <f t="shared" ref="H29:H38" si="1">+IF(D29="","",((D29*100%)/$G$23)+H28)</f>
        <v>0.36666666666666664</v>
      </c>
      <c r="I29" s="695"/>
      <c r="M29" s="24"/>
    </row>
    <row r="30" spans="2:14" ht="19.5" customHeight="1" x14ac:dyDescent="0.25">
      <c r="B30" s="101" t="s">
        <v>160</v>
      </c>
      <c r="C30" s="171">
        <v>0.01</v>
      </c>
      <c r="D30" s="171">
        <v>0.01</v>
      </c>
      <c r="E30" s="131">
        <f t="shared" si="0"/>
        <v>1</v>
      </c>
      <c r="F30" s="692"/>
      <c r="G30" s="692"/>
      <c r="H30" s="242">
        <f t="shared" si="1"/>
        <v>0.39999999999999997</v>
      </c>
      <c r="I30" s="695"/>
    </row>
    <row r="31" spans="2:14" ht="19.5" customHeight="1" x14ac:dyDescent="0.25">
      <c r="B31" s="101" t="s">
        <v>161</v>
      </c>
      <c r="C31" s="171">
        <v>0.06</v>
      </c>
      <c r="D31" s="171">
        <v>0.06</v>
      </c>
      <c r="E31" s="131">
        <f t="shared" si="0"/>
        <v>1</v>
      </c>
      <c r="F31" s="692"/>
      <c r="G31" s="692"/>
      <c r="H31" s="242">
        <f t="shared" si="1"/>
        <v>0.6</v>
      </c>
      <c r="I31" s="695"/>
    </row>
    <row r="32" spans="2:14" ht="19.5" customHeight="1" x14ac:dyDescent="0.25">
      <c r="B32" s="101" t="s">
        <v>162</v>
      </c>
      <c r="C32" s="171">
        <v>1.43E-2</v>
      </c>
      <c r="D32" s="171">
        <v>1.43E-2</v>
      </c>
      <c r="E32" s="131">
        <f>D32/C32</f>
        <v>1</v>
      </c>
      <c r="F32" s="692"/>
      <c r="G32" s="692"/>
      <c r="H32" s="242">
        <f t="shared" si="1"/>
        <v>0.64766666666666661</v>
      </c>
      <c r="I32" s="695"/>
    </row>
    <row r="33" spans="2:11" ht="19.5" customHeight="1" x14ac:dyDescent="0.25">
      <c r="B33" s="101" t="s">
        <v>163</v>
      </c>
      <c r="C33" s="171">
        <v>1.43E-2</v>
      </c>
      <c r="D33" s="171">
        <v>1.43E-2</v>
      </c>
      <c r="E33" s="131">
        <f t="shared" ref="E33:E38" si="2">D33/C33</f>
        <v>1</v>
      </c>
      <c r="F33" s="692"/>
      <c r="G33" s="692"/>
      <c r="H33" s="242">
        <f t="shared" si="1"/>
        <v>0.69533333333333325</v>
      </c>
      <c r="I33" s="695"/>
    </row>
    <row r="34" spans="2:11" ht="19.5" customHeight="1" x14ac:dyDescent="0.25">
      <c r="B34" s="101" t="s">
        <v>164</v>
      </c>
      <c r="C34" s="241">
        <f>4.76%*G23</f>
        <v>1.4279999999999998E-2</v>
      </c>
      <c r="D34" s="241">
        <f>+C34</f>
        <v>1.4279999999999998E-2</v>
      </c>
      <c r="E34" s="131">
        <f t="shared" si="2"/>
        <v>1</v>
      </c>
      <c r="F34" s="692"/>
      <c r="G34" s="692"/>
      <c r="H34" s="242">
        <f t="shared" si="1"/>
        <v>0.74293333333333322</v>
      </c>
      <c r="I34" s="695"/>
    </row>
    <row r="35" spans="2:11" ht="19.5" customHeight="1" x14ac:dyDescent="0.25">
      <c r="B35" s="101" t="s">
        <v>165</v>
      </c>
      <c r="C35" s="241">
        <f>11.43%*G23</f>
        <v>3.4290000000000001E-2</v>
      </c>
      <c r="D35" s="241">
        <v>3.4299999999999997E-2</v>
      </c>
      <c r="E35" s="131">
        <f t="shared" si="2"/>
        <v>1.0002916302128899</v>
      </c>
      <c r="F35" s="692"/>
      <c r="G35" s="692"/>
      <c r="H35" s="242">
        <f t="shared" si="1"/>
        <v>0.85726666666666651</v>
      </c>
      <c r="I35" s="695"/>
    </row>
    <row r="36" spans="2:11" ht="19.5" customHeight="1" x14ac:dyDescent="0.25">
      <c r="B36" s="101" t="s">
        <v>166</v>
      </c>
      <c r="C36" s="241">
        <f>4.76%*G23</f>
        <v>1.4279999999999998E-2</v>
      </c>
      <c r="D36" s="241"/>
      <c r="E36" s="131">
        <f t="shared" si="2"/>
        <v>0</v>
      </c>
      <c r="F36" s="692"/>
      <c r="G36" s="692"/>
      <c r="H36" s="242" t="str">
        <f t="shared" si="1"/>
        <v/>
      </c>
      <c r="I36" s="695"/>
    </row>
    <row r="37" spans="2:11" ht="19.5" customHeight="1" x14ac:dyDescent="0.25">
      <c r="B37" s="101" t="s">
        <v>167</v>
      </c>
      <c r="C37" s="241">
        <f>4.76%*G23</f>
        <v>1.4279999999999998E-2</v>
      </c>
      <c r="D37" s="241"/>
      <c r="E37" s="131">
        <f t="shared" si="2"/>
        <v>0</v>
      </c>
      <c r="F37" s="692"/>
      <c r="G37" s="692"/>
      <c r="H37" s="242" t="str">
        <f t="shared" si="1"/>
        <v/>
      </c>
      <c r="I37" s="695"/>
    </row>
    <row r="38" spans="2:11" ht="19.5" customHeight="1" x14ac:dyDescent="0.25">
      <c r="B38" s="101" t="s">
        <v>168</v>
      </c>
      <c r="C38" s="241">
        <f>4.76%*G23</f>
        <v>1.4279999999999998E-2</v>
      </c>
      <c r="D38" s="241"/>
      <c r="E38" s="131">
        <f t="shared" si="2"/>
        <v>0</v>
      </c>
      <c r="F38" s="693"/>
      <c r="G38" s="693"/>
      <c r="H38" s="242" t="str">
        <f t="shared" si="1"/>
        <v/>
      </c>
      <c r="I38" s="696"/>
    </row>
    <row r="39" spans="2:11" ht="291" customHeight="1" x14ac:dyDescent="0.25">
      <c r="B39" s="119" t="s">
        <v>280</v>
      </c>
      <c r="C39" s="682" t="s">
        <v>462</v>
      </c>
      <c r="D39" s="683"/>
      <c r="E39" s="683"/>
      <c r="F39" s="683"/>
      <c r="G39" s="683"/>
      <c r="H39" s="683"/>
      <c r="I39" s="684"/>
    </row>
    <row r="40" spans="2:11" ht="34.5" customHeight="1" x14ac:dyDescent="0.25">
      <c r="B40" s="527"/>
      <c r="C40" s="528"/>
      <c r="D40" s="528"/>
      <c r="E40" s="528"/>
      <c r="F40" s="528"/>
      <c r="G40" s="528"/>
      <c r="H40" s="528"/>
      <c r="I40" s="529"/>
      <c r="J40" s="40"/>
      <c r="K40" s="40"/>
    </row>
    <row r="41" spans="2:11" ht="34.5" customHeight="1" x14ac:dyDescent="0.25">
      <c r="B41" s="530"/>
      <c r="C41" s="531"/>
      <c r="D41" s="531"/>
      <c r="E41" s="531"/>
      <c r="F41" s="531"/>
      <c r="G41" s="531"/>
      <c r="H41" s="531"/>
      <c r="I41" s="532"/>
      <c r="J41" s="28"/>
      <c r="K41" s="28"/>
    </row>
    <row r="42" spans="2:11" ht="34.5" customHeight="1" x14ac:dyDescent="0.25">
      <c r="B42" s="530"/>
      <c r="C42" s="531"/>
      <c r="D42" s="531"/>
      <c r="E42" s="531"/>
      <c r="F42" s="531"/>
      <c r="G42" s="531"/>
      <c r="H42" s="531"/>
      <c r="I42" s="532"/>
      <c r="J42" s="28"/>
      <c r="K42" s="28"/>
    </row>
    <row r="43" spans="2:11" ht="34.5" customHeight="1" x14ac:dyDescent="0.25">
      <c r="B43" s="530"/>
      <c r="C43" s="531"/>
      <c r="D43" s="531"/>
      <c r="E43" s="531"/>
      <c r="F43" s="531"/>
      <c r="G43" s="531"/>
      <c r="H43" s="531"/>
      <c r="I43" s="532"/>
      <c r="J43" s="28"/>
      <c r="K43" s="28"/>
    </row>
    <row r="44" spans="2:11" ht="34.5" customHeight="1" x14ac:dyDescent="0.25">
      <c r="B44" s="533"/>
      <c r="C44" s="534"/>
      <c r="D44" s="534"/>
      <c r="E44" s="534"/>
      <c r="F44" s="534"/>
      <c r="G44" s="534"/>
      <c r="H44" s="534"/>
      <c r="I44" s="535"/>
      <c r="J44" s="12"/>
      <c r="K44" s="12"/>
    </row>
    <row r="45" spans="2:11" ht="24.45" customHeight="1" x14ac:dyDescent="0.25">
      <c r="B45" s="670" t="s">
        <v>281</v>
      </c>
      <c r="C45" s="673" t="s">
        <v>463</v>
      </c>
      <c r="D45" s="673"/>
      <c r="E45" s="673"/>
      <c r="F45" s="674"/>
      <c r="G45" s="143"/>
      <c r="H45" s="144" t="s">
        <v>148</v>
      </c>
      <c r="I45" s="145" t="s">
        <v>308</v>
      </c>
      <c r="J45" s="12"/>
      <c r="K45" s="12"/>
    </row>
    <row r="46" spans="2:11" ht="40.950000000000003" customHeight="1" x14ac:dyDescent="0.25">
      <c r="B46" s="671"/>
      <c r="C46" s="675"/>
      <c r="D46" s="675"/>
      <c r="E46" s="675"/>
      <c r="F46" s="676"/>
      <c r="G46" s="152" t="s">
        <v>346</v>
      </c>
      <c r="H46" s="290">
        <v>2</v>
      </c>
      <c r="I46" s="290">
        <v>29</v>
      </c>
      <c r="J46" s="29"/>
      <c r="K46" s="29"/>
    </row>
    <row r="47" spans="2:11" ht="40.950000000000003" customHeight="1" x14ac:dyDescent="0.25">
      <c r="B47" s="672"/>
      <c r="C47" s="677"/>
      <c r="D47" s="677"/>
      <c r="E47" s="677"/>
      <c r="F47" s="678"/>
      <c r="G47" s="152" t="s">
        <v>347</v>
      </c>
      <c r="H47" s="290">
        <v>10</v>
      </c>
      <c r="I47" s="290">
        <v>125</v>
      </c>
      <c r="J47" s="29"/>
      <c r="K47" s="29"/>
    </row>
    <row r="48" spans="2:11" ht="32.25" customHeight="1" x14ac:dyDescent="0.25">
      <c r="B48" s="118" t="s">
        <v>282</v>
      </c>
      <c r="C48" s="664" t="s">
        <v>348</v>
      </c>
      <c r="D48" s="665"/>
      <c r="E48" s="665"/>
      <c r="F48" s="665"/>
      <c r="G48" s="665"/>
      <c r="H48" s="665"/>
      <c r="I48" s="666"/>
      <c r="J48" s="29"/>
      <c r="K48" s="29"/>
    </row>
    <row r="49" spans="2:11" ht="69" customHeight="1" x14ac:dyDescent="0.25">
      <c r="B49" s="120" t="s">
        <v>283</v>
      </c>
      <c r="C49" s="667" t="s">
        <v>349</v>
      </c>
      <c r="D49" s="668"/>
      <c r="E49" s="668"/>
      <c r="F49" s="668"/>
      <c r="G49" s="668"/>
      <c r="H49" s="668"/>
      <c r="I49" s="669"/>
      <c r="J49" s="29"/>
      <c r="K49" s="29"/>
    </row>
    <row r="50" spans="2:11" ht="22.5" customHeight="1" x14ac:dyDescent="0.25">
      <c r="B50" s="651" t="s">
        <v>284</v>
      </c>
      <c r="C50" s="652"/>
      <c r="D50" s="652"/>
      <c r="E50" s="652"/>
      <c r="F50" s="652"/>
      <c r="G50" s="652"/>
      <c r="H50" s="652"/>
      <c r="I50" s="653"/>
      <c r="J50" s="29"/>
      <c r="K50" s="29"/>
    </row>
    <row r="51" spans="2:11" ht="22.5" customHeight="1" x14ac:dyDescent="0.25">
      <c r="B51" s="508" t="s">
        <v>285</v>
      </c>
      <c r="C51" s="141" t="s">
        <v>286</v>
      </c>
      <c r="D51" s="510" t="s">
        <v>287</v>
      </c>
      <c r="E51" s="510"/>
      <c r="F51" s="510"/>
      <c r="G51" s="510" t="s">
        <v>288</v>
      </c>
      <c r="H51" s="510"/>
      <c r="I51" s="511"/>
      <c r="J51" s="30"/>
      <c r="K51" s="30"/>
    </row>
    <row r="52" spans="2:11" ht="30.75" customHeight="1" x14ac:dyDescent="0.25">
      <c r="B52" s="509"/>
      <c r="C52" s="236"/>
      <c r="D52" s="588"/>
      <c r="E52" s="588"/>
      <c r="F52" s="588"/>
      <c r="G52" s="588"/>
      <c r="H52" s="588"/>
      <c r="I52" s="589"/>
      <c r="J52" s="30"/>
      <c r="K52" s="30"/>
    </row>
    <row r="53" spans="2:11" ht="32.25" customHeight="1" x14ac:dyDescent="0.25">
      <c r="B53" s="121" t="s">
        <v>289</v>
      </c>
      <c r="C53" s="588" t="s">
        <v>350</v>
      </c>
      <c r="D53" s="588"/>
      <c r="E53" s="588"/>
      <c r="F53" s="588"/>
      <c r="G53" s="588"/>
      <c r="H53" s="588"/>
      <c r="I53" s="589"/>
      <c r="J53" s="32"/>
      <c r="K53" s="32"/>
    </row>
    <row r="54" spans="2:11" ht="28.5" customHeight="1" x14ac:dyDescent="0.25">
      <c r="B54" s="122" t="s">
        <v>291</v>
      </c>
      <c r="C54" s="588" t="s">
        <v>350</v>
      </c>
      <c r="D54" s="588"/>
      <c r="E54" s="588"/>
      <c r="F54" s="588"/>
      <c r="G54" s="588"/>
      <c r="H54" s="588"/>
      <c r="I54" s="589"/>
      <c r="J54" s="32"/>
      <c r="K54" s="32"/>
    </row>
    <row r="55" spans="2:11" ht="30" customHeight="1" x14ac:dyDescent="0.25">
      <c r="B55" s="120" t="s">
        <v>292</v>
      </c>
      <c r="C55" s="679" t="s">
        <v>448</v>
      </c>
      <c r="D55" s="680"/>
      <c r="E55" s="680"/>
      <c r="F55" s="680"/>
      <c r="G55" s="680"/>
      <c r="H55" s="680"/>
      <c r="I55" s="681"/>
      <c r="J55" s="33"/>
      <c r="K55" s="33"/>
    </row>
    <row r="56" spans="2:11" ht="31.5" customHeight="1" thickBot="1" x14ac:dyDescent="0.3">
      <c r="B56" s="116" t="s">
        <v>294</v>
      </c>
      <c r="C56" s="679" t="s">
        <v>448</v>
      </c>
      <c r="D56" s="680"/>
      <c r="E56" s="680"/>
      <c r="F56" s="680"/>
      <c r="G56" s="680"/>
      <c r="H56" s="680"/>
      <c r="I56" s="681"/>
      <c r="J56" s="34"/>
      <c r="K56" s="34"/>
    </row>
    <row r="57" spans="2:11" ht="12.75" customHeight="1" x14ac:dyDescent="0.25">
      <c r="B57" s="123"/>
      <c r="C57" s="124"/>
      <c r="D57" s="124"/>
      <c r="E57" s="125"/>
      <c r="F57" s="125"/>
      <c r="G57" s="126"/>
      <c r="H57" s="127"/>
      <c r="I57" s="124"/>
      <c r="J57" s="34"/>
      <c r="K57" s="34"/>
    </row>
    <row r="58" spans="2:11" ht="13.2" customHeight="1" x14ac:dyDescent="0.25">
      <c r="B58" s="123"/>
      <c r="C58" s="124"/>
      <c r="D58" s="124"/>
      <c r="E58" s="125"/>
      <c r="F58" s="125"/>
      <c r="G58" s="126"/>
      <c r="H58" s="127"/>
      <c r="I58" s="124"/>
      <c r="J58" s="34"/>
      <c r="K58" s="34"/>
    </row>
    <row r="59" spans="2:11" ht="13.2" customHeight="1" x14ac:dyDescent="0.25">
      <c r="B59" s="123"/>
      <c r="C59" s="124"/>
      <c r="D59" s="124"/>
      <c r="E59" s="125"/>
      <c r="F59" s="125"/>
      <c r="G59" s="126"/>
      <c r="H59" s="127"/>
      <c r="I59" s="124"/>
      <c r="J59" s="34"/>
      <c r="K59" s="34"/>
    </row>
    <row r="60" spans="2:11" ht="13.2" customHeight="1" x14ac:dyDescent="0.25">
      <c r="B60" s="123"/>
      <c r="C60" s="124"/>
      <c r="D60" s="124"/>
      <c r="E60" s="125"/>
      <c r="F60" s="125"/>
      <c r="G60" s="126"/>
      <c r="H60" s="127"/>
      <c r="I60" s="124"/>
      <c r="J60" s="34"/>
      <c r="K60" s="34"/>
    </row>
    <row r="61" spans="2:11" ht="13.2" customHeight="1" x14ac:dyDescent="0.25">
      <c r="B61" s="123"/>
      <c r="C61" s="124"/>
      <c r="D61" s="124"/>
      <c r="E61" s="125"/>
      <c r="F61" s="125"/>
      <c r="G61" s="126"/>
      <c r="H61" s="127"/>
      <c r="I61" s="124"/>
      <c r="J61" s="34"/>
      <c r="K61" s="34"/>
    </row>
    <row r="62" spans="2:11" ht="25.5" customHeight="1" x14ac:dyDescent="0.25">
      <c r="B62" s="123"/>
      <c r="C62" s="124"/>
      <c r="D62" s="124"/>
      <c r="E62" s="125"/>
      <c r="F62" s="125"/>
      <c r="G62" s="126"/>
      <c r="H62" s="127"/>
      <c r="I62" s="124"/>
      <c r="J62" s="34"/>
      <c r="K62" s="34"/>
    </row>
    <row r="63" spans="2:11" ht="13.2" customHeight="1" x14ac:dyDescent="0.25"/>
    <row r="64" spans="2:11" ht="13.2" customHeight="1" x14ac:dyDescent="0.25"/>
    <row r="65" ht="13.2" customHeight="1" x14ac:dyDescent="0.25"/>
    <row r="66" ht="13.2" customHeight="1" x14ac:dyDescent="0.25"/>
    <row r="67" ht="13.2" customHeight="1" x14ac:dyDescent="0.25"/>
    <row r="68" ht="13.2" customHeight="1" x14ac:dyDescent="0.25"/>
    <row r="69" ht="13.2" customHeight="1" x14ac:dyDescent="0.25"/>
    <row r="70" ht="13.2" customHeight="1" x14ac:dyDescent="0.25"/>
    <row r="71" ht="13.2" customHeight="1" x14ac:dyDescent="0.25"/>
    <row r="72" ht="13.2" customHeight="1" x14ac:dyDescent="0.25"/>
    <row r="73" ht="13.2" customHeight="1" x14ac:dyDescent="0.25"/>
    <row r="74" ht="13.2" customHeight="1" x14ac:dyDescent="0.25"/>
    <row r="75" ht="13.2" customHeight="1" x14ac:dyDescent="0.25"/>
    <row r="76" ht="13.2" customHeight="1" x14ac:dyDescent="0.25"/>
    <row r="77" ht="13.2" customHeight="1" x14ac:dyDescent="0.25"/>
    <row r="78" ht="13.2" customHeight="1" x14ac:dyDescent="0.25"/>
    <row r="79" ht="13.2" customHeight="1" x14ac:dyDescent="0.25"/>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5:I55"/>
    <mergeCell ref="C56:I56"/>
    <mergeCell ref="C53:I53"/>
    <mergeCell ref="B50:I50"/>
    <mergeCell ref="B51:B52"/>
    <mergeCell ref="D51:F51"/>
    <mergeCell ref="G51:I51"/>
    <mergeCell ref="D52:F52"/>
    <mergeCell ref="G52:I52"/>
    <mergeCell ref="C48:I48"/>
    <mergeCell ref="C49:I49"/>
    <mergeCell ref="B45:B47"/>
    <mergeCell ref="C45:F47"/>
    <mergeCell ref="C54:I54"/>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6"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2"/>
  <sheetViews>
    <sheetView view="pageBreakPreview" topLeftCell="A26" zoomScale="85" zoomScaleNormal="85" zoomScaleSheetLayoutView="85" zoomScalePageLayoutView="85" workbookViewId="0">
      <selection activeCell="J34" sqref="J34"/>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20.109375" style="83" customWidth="1"/>
    <col min="5" max="5" width="16.44140625" style="83" customWidth="1"/>
    <col min="6" max="6" width="25" style="83" customWidth="1"/>
    <col min="7" max="7" width="22" style="114" customWidth="1"/>
    <col min="8" max="9" width="12.44140625" style="83" customWidth="1"/>
    <col min="10" max="11" width="22.44140625" style="83" customWidth="1"/>
    <col min="12" max="24" width="10.6640625" style="81"/>
    <col min="25" max="16384" width="10.6640625" style="83"/>
  </cols>
  <sheetData>
    <row r="1" spans="2:14" ht="37.5" customHeight="1" x14ac:dyDescent="0.25">
      <c r="B1" s="579"/>
      <c r="C1" s="582" t="s">
        <v>1</v>
      </c>
      <c r="D1" s="582"/>
      <c r="E1" s="582"/>
      <c r="F1" s="582"/>
      <c r="G1" s="582"/>
      <c r="H1" s="582"/>
      <c r="I1" s="583"/>
      <c r="J1" s="80"/>
      <c r="K1" s="80"/>
      <c r="M1" s="82" t="s">
        <v>67</v>
      </c>
    </row>
    <row r="2" spans="2:14" ht="37.5" customHeight="1" x14ac:dyDescent="0.25">
      <c r="B2" s="580"/>
      <c r="C2" s="586" t="s">
        <v>218</v>
      </c>
      <c r="D2" s="586"/>
      <c r="E2" s="586"/>
      <c r="F2" s="586"/>
      <c r="G2" s="586"/>
      <c r="H2" s="586"/>
      <c r="I2" s="584"/>
      <c r="J2" s="80"/>
      <c r="K2" s="80"/>
      <c r="M2" s="82" t="s">
        <v>68</v>
      </c>
    </row>
    <row r="3" spans="2:14" ht="37.5" customHeight="1" thickBot="1" x14ac:dyDescent="0.3">
      <c r="B3" s="581"/>
      <c r="C3" s="587" t="s">
        <v>219</v>
      </c>
      <c r="D3" s="587"/>
      <c r="E3" s="587"/>
      <c r="F3" s="587" t="s">
        <v>220</v>
      </c>
      <c r="G3" s="587"/>
      <c r="H3" s="587"/>
      <c r="I3" s="585"/>
      <c r="J3" s="80"/>
      <c r="K3" s="80"/>
      <c r="M3" s="82" t="s">
        <v>70</v>
      </c>
    </row>
    <row r="4" spans="2:14" ht="23.25" customHeight="1" x14ac:dyDescent="0.25">
      <c r="B4" s="575" t="s">
        <v>221</v>
      </c>
      <c r="C4" s="576"/>
      <c r="D4" s="576"/>
      <c r="E4" s="576"/>
      <c r="F4" s="576"/>
      <c r="G4" s="576"/>
      <c r="H4" s="576"/>
      <c r="I4" s="577"/>
      <c r="J4" s="84"/>
      <c r="K4" s="84"/>
    </row>
    <row r="5" spans="2:14" ht="24" customHeight="1" x14ac:dyDescent="0.25">
      <c r="B5" s="512" t="s">
        <v>222</v>
      </c>
      <c r="C5" s="513"/>
      <c r="D5" s="513"/>
      <c r="E5" s="513"/>
      <c r="F5" s="513"/>
      <c r="G5" s="513"/>
      <c r="H5" s="513"/>
      <c r="I5" s="514"/>
      <c r="J5" s="85"/>
      <c r="K5" s="85"/>
      <c r="N5" s="86" t="s">
        <v>77</v>
      </c>
    </row>
    <row r="6" spans="2:14" ht="30.75" customHeight="1" x14ac:dyDescent="0.25">
      <c r="B6" s="118" t="s">
        <v>223</v>
      </c>
      <c r="C6" s="134">
        <v>5</v>
      </c>
      <c r="D6" s="578" t="s">
        <v>224</v>
      </c>
      <c r="E6" s="578"/>
      <c r="F6" s="556" t="s">
        <v>351</v>
      </c>
      <c r="G6" s="556"/>
      <c r="H6" s="556"/>
      <c r="I6" s="557"/>
      <c r="J6" s="87"/>
      <c r="K6" s="87"/>
      <c r="M6" s="82" t="s">
        <v>81</v>
      </c>
      <c r="N6" s="86" t="s">
        <v>82</v>
      </c>
    </row>
    <row r="7" spans="2:14" ht="30.75" customHeight="1" x14ac:dyDescent="0.25">
      <c r="B7" s="118" t="s">
        <v>226</v>
      </c>
      <c r="C7" s="134" t="s">
        <v>84</v>
      </c>
      <c r="D7" s="578" t="s">
        <v>227</v>
      </c>
      <c r="E7" s="578"/>
      <c r="F7" s="556" t="s">
        <v>352</v>
      </c>
      <c r="G7" s="556"/>
      <c r="H7" s="135" t="s">
        <v>229</v>
      </c>
      <c r="I7" s="136" t="s">
        <v>84</v>
      </c>
      <c r="J7" s="88"/>
      <c r="K7" s="88"/>
      <c r="M7" s="82" t="s">
        <v>88</v>
      </c>
      <c r="N7" s="86" t="s">
        <v>89</v>
      </c>
    </row>
    <row r="8" spans="2:14" ht="30.75" customHeight="1" x14ac:dyDescent="0.25">
      <c r="B8" s="118" t="s">
        <v>230</v>
      </c>
      <c r="C8" s="556" t="s">
        <v>231</v>
      </c>
      <c r="D8" s="556"/>
      <c r="E8" s="556"/>
      <c r="F8" s="556"/>
      <c r="G8" s="135" t="s">
        <v>232</v>
      </c>
      <c r="H8" s="568">
        <v>7550</v>
      </c>
      <c r="I8" s="569"/>
      <c r="J8" s="89"/>
      <c r="K8" s="89"/>
      <c r="M8" s="82" t="s">
        <v>93</v>
      </c>
      <c r="N8" s="86" t="s">
        <v>44</v>
      </c>
    </row>
    <row r="9" spans="2:14" ht="30.75" customHeight="1" x14ac:dyDescent="0.25">
      <c r="B9" s="118" t="s">
        <v>68</v>
      </c>
      <c r="C9" s="570" t="s">
        <v>81</v>
      </c>
      <c r="D9" s="570"/>
      <c r="E9" s="570"/>
      <c r="F9" s="570"/>
      <c r="G9" s="135" t="s">
        <v>233</v>
      </c>
      <c r="H9" s="571" t="s">
        <v>353</v>
      </c>
      <c r="I9" s="572"/>
      <c r="J9" s="90"/>
      <c r="K9" s="90"/>
      <c r="M9" s="91" t="s">
        <v>97</v>
      </c>
    </row>
    <row r="10" spans="2:14" ht="39" customHeight="1" x14ac:dyDescent="0.25">
      <c r="B10" s="118" t="s">
        <v>235</v>
      </c>
      <c r="C10" s="556" t="s">
        <v>354</v>
      </c>
      <c r="D10" s="556"/>
      <c r="E10" s="556"/>
      <c r="F10" s="556"/>
      <c r="G10" s="556"/>
      <c r="H10" s="556"/>
      <c r="I10" s="557"/>
      <c r="J10" s="92"/>
      <c r="K10" s="92"/>
      <c r="M10" s="91"/>
    </row>
    <row r="11" spans="2:14" ht="30.75" customHeight="1" x14ac:dyDescent="0.25">
      <c r="B11" s="118" t="s">
        <v>237</v>
      </c>
      <c r="C11" s="549" t="s">
        <v>355</v>
      </c>
      <c r="D11" s="549"/>
      <c r="E11" s="549"/>
      <c r="F11" s="549"/>
      <c r="G11" s="549"/>
      <c r="H11" s="549"/>
      <c r="I11" s="573"/>
      <c r="J11" s="88"/>
      <c r="K11" s="88"/>
      <c r="M11" s="91"/>
      <c r="N11" s="86" t="s">
        <v>102</v>
      </c>
    </row>
    <row r="12" spans="2:14" ht="30.75" customHeight="1" x14ac:dyDescent="0.25">
      <c r="B12" s="118" t="s">
        <v>239</v>
      </c>
      <c r="C12" s="547" t="s">
        <v>356</v>
      </c>
      <c r="D12" s="547"/>
      <c r="E12" s="547"/>
      <c r="F12" s="547"/>
      <c r="G12" s="135" t="s">
        <v>241</v>
      </c>
      <c r="H12" s="561" t="s">
        <v>106</v>
      </c>
      <c r="I12" s="562"/>
      <c r="J12" s="88"/>
      <c r="K12" s="88"/>
      <c r="M12" s="91" t="s">
        <v>107</v>
      </c>
      <c r="N12" s="86" t="s">
        <v>84</v>
      </c>
    </row>
    <row r="13" spans="2:14" ht="30.75" customHeight="1" x14ac:dyDescent="0.25">
      <c r="B13" s="118" t="s">
        <v>242</v>
      </c>
      <c r="C13" s="574" t="s">
        <v>243</v>
      </c>
      <c r="D13" s="574"/>
      <c r="E13" s="574"/>
      <c r="F13" s="574"/>
      <c r="G13" s="135" t="s">
        <v>244</v>
      </c>
      <c r="H13" s="549" t="s">
        <v>77</v>
      </c>
      <c r="I13" s="573"/>
      <c r="J13" s="88"/>
      <c r="K13" s="88"/>
      <c r="M13" s="91" t="s">
        <v>111</v>
      </c>
    </row>
    <row r="14" spans="2:14" ht="30" customHeight="1" x14ac:dyDescent="0.25">
      <c r="B14" s="118" t="s">
        <v>245</v>
      </c>
      <c r="C14" s="758" t="s">
        <v>357</v>
      </c>
      <c r="D14" s="759"/>
      <c r="E14" s="759"/>
      <c r="F14" s="759"/>
      <c r="G14" s="759"/>
      <c r="H14" s="759"/>
      <c r="I14" s="760"/>
      <c r="J14" s="92"/>
      <c r="K14" s="92"/>
      <c r="M14" s="91" t="s">
        <v>114</v>
      </c>
      <c r="N14" s="86"/>
    </row>
    <row r="15" spans="2:14" ht="30.75" customHeight="1" x14ac:dyDescent="0.25">
      <c r="B15" s="118" t="s">
        <v>247</v>
      </c>
      <c r="C15" s="547" t="s">
        <v>301</v>
      </c>
      <c r="D15" s="547"/>
      <c r="E15" s="547"/>
      <c r="F15" s="547"/>
      <c r="G15" s="547"/>
      <c r="H15" s="547"/>
      <c r="I15" s="548"/>
      <c r="J15" s="93"/>
      <c r="K15" s="93"/>
      <c r="M15" s="91" t="s">
        <v>118</v>
      </c>
      <c r="N15" s="86"/>
    </row>
    <row r="16" spans="2:14" ht="20.25" customHeight="1" x14ac:dyDescent="0.25">
      <c r="B16" s="118" t="s">
        <v>249</v>
      </c>
      <c r="C16" s="556" t="s">
        <v>358</v>
      </c>
      <c r="D16" s="556"/>
      <c r="E16" s="556"/>
      <c r="F16" s="556"/>
      <c r="G16" s="556"/>
      <c r="H16" s="556"/>
      <c r="I16" s="557"/>
      <c r="J16" s="94"/>
      <c r="K16" s="94"/>
      <c r="M16" s="91"/>
      <c r="N16" s="86"/>
    </row>
    <row r="17" spans="2:14" ht="30.75" customHeight="1" x14ac:dyDescent="0.25">
      <c r="B17" s="118" t="s">
        <v>251</v>
      </c>
      <c r="C17" s="549" t="s">
        <v>43</v>
      </c>
      <c r="D17" s="550"/>
      <c r="E17" s="550"/>
      <c r="F17" s="550"/>
      <c r="G17" s="550"/>
      <c r="H17" s="550"/>
      <c r="I17" s="551"/>
      <c r="J17" s="95"/>
      <c r="K17" s="95"/>
      <c r="M17" s="91" t="s">
        <v>106</v>
      </c>
      <c r="N17" s="86"/>
    </row>
    <row r="18" spans="2:14" ht="18" customHeight="1" x14ac:dyDescent="0.25">
      <c r="B18" s="552" t="s">
        <v>253</v>
      </c>
      <c r="C18" s="553" t="s">
        <v>254</v>
      </c>
      <c r="D18" s="553"/>
      <c r="E18" s="553"/>
      <c r="F18" s="554" t="s">
        <v>255</v>
      </c>
      <c r="G18" s="554"/>
      <c r="H18" s="554"/>
      <c r="I18" s="555"/>
      <c r="J18" s="96"/>
      <c r="K18" s="96"/>
      <c r="M18" s="91" t="s">
        <v>128</v>
      </c>
      <c r="N18" s="86"/>
    </row>
    <row r="19" spans="2:14" ht="39.75" customHeight="1" x14ac:dyDescent="0.25">
      <c r="B19" s="552"/>
      <c r="C19" s="556" t="s">
        <v>359</v>
      </c>
      <c r="D19" s="556"/>
      <c r="E19" s="556"/>
      <c r="F19" s="556" t="s">
        <v>360</v>
      </c>
      <c r="G19" s="556"/>
      <c r="H19" s="556"/>
      <c r="I19" s="557"/>
      <c r="J19" s="94"/>
      <c r="K19" s="94"/>
      <c r="M19" s="91" t="s">
        <v>132</v>
      </c>
      <c r="N19" s="86"/>
    </row>
    <row r="20" spans="2:14" ht="39.75" customHeight="1" x14ac:dyDescent="0.25">
      <c r="B20" s="118" t="s">
        <v>258</v>
      </c>
      <c r="C20" s="558" t="s">
        <v>252</v>
      </c>
      <c r="D20" s="559"/>
      <c r="E20" s="560"/>
      <c r="F20" s="561" t="s">
        <v>252</v>
      </c>
      <c r="G20" s="561"/>
      <c r="H20" s="561"/>
      <c r="I20" s="562"/>
      <c r="J20" s="88"/>
      <c r="K20" s="88"/>
      <c r="M20" s="91"/>
      <c r="N20" s="86"/>
    </row>
    <row r="21" spans="2:14" ht="361.2" customHeight="1" x14ac:dyDescent="0.25">
      <c r="B21" s="118" t="s">
        <v>259</v>
      </c>
      <c r="C21" s="563" t="s">
        <v>361</v>
      </c>
      <c r="D21" s="564"/>
      <c r="E21" s="565"/>
      <c r="F21" s="755" t="s">
        <v>362</v>
      </c>
      <c r="G21" s="756"/>
      <c r="H21" s="756"/>
      <c r="I21" s="757"/>
      <c r="J21" s="93"/>
      <c r="K21" s="93"/>
      <c r="M21" s="97"/>
      <c r="N21" s="86"/>
    </row>
    <row r="22" spans="2:14" ht="23.25" customHeight="1" x14ac:dyDescent="0.25">
      <c r="B22" s="118" t="s">
        <v>262</v>
      </c>
      <c r="C22" s="542">
        <v>44562</v>
      </c>
      <c r="D22" s="566"/>
      <c r="E22" s="567"/>
      <c r="F22" s="135" t="s">
        <v>263</v>
      </c>
      <c r="G22" s="243">
        <v>0.1</v>
      </c>
      <c r="H22" s="135" t="s">
        <v>264</v>
      </c>
      <c r="I22" s="244">
        <v>0.1</v>
      </c>
      <c r="J22" s="98"/>
      <c r="K22" s="98"/>
      <c r="M22" s="97"/>
    </row>
    <row r="23" spans="2:14" ht="27" customHeight="1" x14ac:dyDescent="0.25">
      <c r="B23" s="118" t="s">
        <v>265</v>
      </c>
      <c r="C23" s="542">
        <v>44926</v>
      </c>
      <c r="D23" s="522"/>
      <c r="E23" s="543"/>
      <c r="F23" s="135" t="s">
        <v>266</v>
      </c>
      <c r="G23" s="544">
        <v>0.3</v>
      </c>
      <c r="H23" s="545"/>
      <c r="I23" s="546"/>
      <c r="J23" s="99"/>
      <c r="K23" s="99"/>
      <c r="M23" s="97"/>
    </row>
    <row r="24" spans="2:14" ht="30.75" customHeight="1" x14ac:dyDescent="0.25">
      <c r="B24" s="226" t="s">
        <v>267</v>
      </c>
      <c r="C24" s="518" t="s">
        <v>268</v>
      </c>
      <c r="D24" s="519"/>
      <c r="E24" s="520"/>
      <c r="F24" s="227" t="s">
        <v>269</v>
      </c>
      <c r="G24" s="521" t="s">
        <v>46</v>
      </c>
      <c r="H24" s="522"/>
      <c r="I24" s="523"/>
      <c r="J24" s="96"/>
      <c r="K24" s="96"/>
      <c r="M24" s="97"/>
    </row>
    <row r="25" spans="2:14" ht="22.5" customHeight="1" x14ac:dyDescent="0.25">
      <c r="B25" s="512" t="s">
        <v>270</v>
      </c>
      <c r="C25" s="513"/>
      <c r="D25" s="513"/>
      <c r="E25" s="513"/>
      <c r="F25" s="513"/>
      <c r="G25" s="513"/>
      <c r="H25" s="513"/>
      <c r="I25" s="514"/>
      <c r="J25" s="85"/>
      <c r="K25" s="85"/>
      <c r="M25" s="97"/>
    </row>
    <row r="26" spans="2:14" ht="43.5" customHeight="1" x14ac:dyDescent="0.25">
      <c r="B26" s="100" t="s">
        <v>148</v>
      </c>
      <c r="C26" s="138" t="s">
        <v>271</v>
      </c>
      <c r="D26" s="138" t="s">
        <v>272</v>
      </c>
      <c r="E26" s="139" t="s">
        <v>273</v>
      </c>
      <c r="F26" s="138" t="s">
        <v>274</v>
      </c>
      <c r="G26" s="138" t="s">
        <v>275</v>
      </c>
      <c r="H26" s="139" t="s">
        <v>276</v>
      </c>
      <c r="I26" s="140" t="s">
        <v>277</v>
      </c>
      <c r="J26" s="94"/>
      <c r="K26" s="94"/>
      <c r="M26" s="97"/>
    </row>
    <row r="27" spans="2:14" ht="15.45" customHeight="1" x14ac:dyDescent="0.25">
      <c r="B27" s="100" t="s">
        <v>278</v>
      </c>
      <c r="C27" s="232">
        <f>8.33%*$G$23</f>
        <v>2.4989999999999998E-2</v>
      </c>
      <c r="D27" s="232">
        <f>8.33%*$G$23</f>
        <v>2.4989999999999998E-2</v>
      </c>
      <c r="E27" s="131">
        <f>D27/C27</f>
        <v>1</v>
      </c>
      <c r="F27" s="539">
        <f>SUM(C27:C38)</f>
        <v>0.29988000000000004</v>
      </c>
      <c r="G27" s="539">
        <f>SUM(D27:D38)</f>
        <v>0.22491</v>
      </c>
      <c r="H27" s="245">
        <f>+(D27*100%)/$G$23</f>
        <v>8.3299999999999999E-2</v>
      </c>
      <c r="I27" s="536">
        <f>G27+I22</f>
        <v>0.32491000000000003</v>
      </c>
      <c r="J27" s="94"/>
      <c r="K27" s="94"/>
      <c r="M27" s="97"/>
    </row>
    <row r="28" spans="2:14" ht="15.45" customHeight="1" x14ac:dyDescent="0.25">
      <c r="B28" s="100" t="s">
        <v>158</v>
      </c>
      <c r="C28" s="232">
        <f>8.33%*$G$23</f>
        <v>2.4989999999999998E-2</v>
      </c>
      <c r="D28" s="232">
        <f>8.33%*$G$23</f>
        <v>2.4989999999999998E-2</v>
      </c>
      <c r="E28" s="131">
        <f>D28/C28</f>
        <v>1</v>
      </c>
      <c r="F28" s="540"/>
      <c r="G28" s="540"/>
      <c r="H28" s="245">
        <f>+IF(D28="","",((D28*100%)/$G$23)+H27)</f>
        <v>0.1666</v>
      </c>
      <c r="I28" s="537"/>
      <c r="J28" s="94"/>
      <c r="K28" s="94"/>
      <c r="M28" s="97"/>
    </row>
    <row r="29" spans="2:14" ht="15.45" customHeight="1" x14ac:dyDescent="0.25">
      <c r="B29" s="100" t="s">
        <v>159</v>
      </c>
      <c r="C29" s="232">
        <f t="shared" ref="C29:D38" si="0">8.33%*$G$23</f>
        <v>2.4989999999999998E-2</v>
      </c>
      <c r="D29" s="232">
        <f t="shared" si="0"/>
        <v>2.4989999999999998E-2</v>
      </c>
      <c r="E29" s="131">
        <f>D29/C29</f>
        <v>1</v>
      </c>
      <c r="F29" s="540"/>
      <c r="G29" s="540"/>
      <c r="H29" s="245">
        <f>+IF(D29="","",((D29*100%)/$G$23)+H28)</f>
        <v>0.24990000000000001</v>
      </c>
      <c r="I29" s="537"/>
      <c r="J29" s="94"/>
      <c r="K29" s="94"/>
      <c r="M29" s="97"/>
    </row>
    <row r="30" spans="2:14" ht="15.45" customHeight="1" x14ac:dyDescent="0.25">
      <c r="B30" s="100" t="s">
        <v>160</v>
      </c>
      <c r="C30" s="232">
        <f t="shared" si="0"/>
        <v>2.4989999999999998E-2</v>
      </c>
      <c r="D30" s="232">
        <f t="shared" si="0"/>
        <v>2.4989999999999998E-2</v>
      </c>
      <c r="E30" s="131">
        <f t="shared" ref="E30:E31" si="1">D30/C30</f>
        <v>1</v>
      </c>
      <c r="F30" s="540"/>
      <c r="G30" s="540"/>
      <c r="H30" s="245">
        <f t="shared" ref="H30:H38" si="2">+IF(D30="","",((D30*100%)/$G$23)+H29)</f>
        <v>0.3332</v>
      </c>
      <c r="I30" s="537"/>
      <c r="J30" s="94"/>
      <c r="K30" s="94"/>
      <c r="M30" s="97"/>
    </row>
    <row r="31" spans="2:14" ht="15.45" customHeight="1" x14ac:dyDescent="0.25">
      <c r="B31" s="100" t="s">
        <v>161</v>
      </c>
      <c r="C31" s="232">
        <f t="shared" si="0"/>
        <v>2.4989999999999998E-2</v>
      </c>
      <c r="D31" s="232">
        <f t="shared" si="0"/>
        <v>2.4989999999999998E-2</v>
      </c>
      <c r="E31" s="131">
        <f t="shared" si="1"/>
        <v>1</v>
      </c>
      <c r="F31" s="540"/>
      <c r="G31" s="540"/>
      <c r="H31" s="245">
        <f t="shared" si="2"/>
        <v>0.41649999999999998</v>
      </c>
      <c r="I31" s="537"/>
      <c r="J31" s="94"/>
      <c r="K31" s="94"/>
      <c r="M31" s="97"/>
    </row>
    <row r="32" spans="2:14" ht="15.45" customHeight="1" x14ac:dyDescent="0.25">
      <c r="B32" s="100" t="s">
        <v>162</v>
      </c>
      <c r="C32" s="232">
        <f t="shared" si="0"/>
        <v>2.4989999999999998E-2</v>
      </c>
      <c r="D32" s="232">
        <f t="shared" si="0"/>
        <v>2.4989999999999998E-2</v>
      </c>
      <c r="E32" s="131">
        <f>D32/C32</f>
        <v>1</v>
      </c>
      <c r="F32" s="540"/>
      <c r="G32" s="540"/>
      <c r="H32" s="245">
        <f t="shared" si="2"/>
        <v>0.49979999999999997</v>
      </c>
      <c r="I32" s="537"/>
      <c r="J32" s="94"/>
      <c r="K32" s="94"/>
      <c r="M32" s="97"/>
    </row>
    <row r="33" spans="2:11" ht="19.5" customHeight="1" x14ac:dyDescent="0.25">
      <c r="B33" s="100" t="s">
        <v>163</v>
      </c>
      <c r="C33" s="232">
        <f t="shared" si="0"/>
        <v>2.4989999999999998E-2</v>
      </c>
      <c r="D33" s="232">
        <f t="shared" si="0"/>
        <v>2.4989999999999998E-2</v>
      </c>
      <c r="E33" s="131">
        <f t="shared" ref="E33:E38" si="3">D33/C33</f>
        <v>1</v>
      </c>
      <c r="F33" s="540"/>
      <c r="G33" s="540"/>
      <c r="H33" s="245">
        <f t="shared" si="2"/>
        <v>0.58309999999999995</v>
      </c>
      <c r="I33" s="537"/>
      <c r="J33" s="102"/>
      <c r="K33" s="102"/>
    </row>
    <row r="34" spans="2:11" ht="19.5" customHeight="1" x14ac:dyDescent="0.25">
      <c r="B34" s="100" t="s">
        <v>164</v>
      </c>
      <c r="C34" s="232">
        <f t="shared" si="0"/>
        <v>2.4989999999999998E-2</v>
      </c>
      <c r="D34" s="232">
        <f>+C34</f>
        <v>2.4989999999999998E-2</v>
      </c>
      <c r="E34" s="131">
        <f t="shared" si="3"/>
        <v>1</v>
      </c>
      <c r="F34" s="540"/>
      <c r="G34" s="540"/>
      <c r="H34" s="245">
        <f t="shared" si="2"/>
        <v>0.66639999999999999</v>
      </c>
      <c r="I34" s="537"/>
      <c r="J34" s="102"/>
      <c r="K34" s="102"/>
    </row>
    <row r="35" spans="2:11" ht="19.5" customHeight="1" x14ac:dyDescent="0.25">
      <c r="B35" s="100" t="s">
        <v>165</v>
      </c>
      <c r="C35" s="232">
        <f t="shared" si="0"/>
        <v>2.4989999999999998E-2</v>
      </c>
      <c r="D35" s="232">
        <f t="shared" si="0"/>
        <v>2.4989999999999998E-2</v>
      </c>
      <c r="E35" s="131">
        <f t="shared" si="3"/>
        <v>1</v>
      </c>
      <c r="F35" s="540"/>
      <c r="G35" s="540"/>
      <c r="H35" s="245">
        <f t="shared" si="2"/>
        <v>0.74970000000000003</v>
      </c>
      <c r="I35" s="537"/>
      <c r="J35" s="102"/>
      <c r="K35" s="102"/>
    </row>
    <row r="36" spans="2:11" ht="19.5" customHeight="1" x14ac:dyDescent="0.25">
      <c r="B36" s="100" t="s">
        <v>166</v>
      </c>
      <c r="C36" s="232">
        <f t="shared" si="0"/>
        <v>2.4989999999999998E-2</v>
      </c>
      <c r="D36" s="232"/>
      <c r="E36" s="131">
        <f t="shared" si="3"/>
        <v>0</v>
      </c>
      <c r="F36" s="540"/>
      <c r="G36" s="540"/>
      <c r="H36" s="245" t="str">
        <f t="shared" si="2"/>
        <v/>
      </c>
      <c r="I36" s="537"/>
      <c r="J36" s="102"/>
      <c r="K36" s="102"/>
    </row>
    <row r="37" spans="2:11" ht="19.5" customHeight="1" x14ac:dyDescent="0.25">
      <c r="B37" s="100" t="s">
        <v>167</v>
      </c>
      <c r="C37" s="232">
        <f t="shared" si="0"/>
        <v>2.4989999999999998E-2</v>
      </c>
      <c r="D37" s="232"/>
      <c r="E37" s="131">
        <f t="shared" si="3"/>
        <v>0</v>
      </c>
      <c r="F37" s="540"/>
      <c r="G37" s="540"/>
      <c r="H37" s="245" t="str">
        <f t="shared" si="2"/>
        <v/>
      </c>
      <c r="I37" s="537"/>
      <c r="J37" s="102"/>
      <c r="K37" s="102"/>
    </row>
    <row r="38" spans="2:11" ht="19.5" customHeight="1" x14ac:dyDescent="0.25">
      <c r="B38" s="100" t="s">
        <v>168</v>
      </c>
      <c r="C38" s="232">
        <f t="shared" si="0"/>
        <v>2.4989999999999998E-2</v>
      </c>
      <c r="D38" s="232"/>
      <c r="E38" s="131">
        <f t="shared" si="3"/>
        <v>0</v>
      </c>
      <c r="F38" s="541"/>
      <c r="G38" s="541"/>
      <c r="H38" s="245" t="str">
        <f t="shared" si="2"/>
        <v/>
      </c>
      <c r="I38" s="538"/>
      <c r="J38" s="102"/>
      <c r="K38" s="102"/>
    </row>
    <row r="39" spans="2:11" ht="78.75" customHeight="1" x14ac:dyDescent="0.25">
      <c r="B39" s="119" t="s">
        <v>280</v>
      </c>
      <c r="C39" s="749" t="s">
        <v>363</v>
      </c>
      <c r="D39" s="750"/>
      <c r="E39" s="750"/>
      <c r="F39" s="750"/>
      <c r="G39" s="750"/>
      <c r="H39" s="750"/>
      <c r="I39" s="751"/>
      <c r="J39" s="103"/>
      <c r="K39" s="103"/>
    </row>
    <row r="40" spans="2:11" ht="47.7" customHeight="1" x14ac:dyDescent="0.25">
      <c r="B40" s="527"/>
      <c r="C40" s="528"/>
      <c r="D40" s="528"/>
      <c r="E40" s="528"/>
      <c r="F40" s="528"/>
      <c r="G40" s="528"/>
      <c r="H40" s="528"/>
      <c r="I40" s="529"/>
      <c r="J40" s="85"/>
      <c r="K40" s="85"/>
    </row>
    <row r="41" spans="2:11" ht="47.7" customHeight="1" x14ac:dyDescent="0.25">
      <c r="B41" s="530"/>
      <c r="C41" s="531"/>
      <c r="D41" s="531"/>
      <c r="E41" s="531"/>
      <c r="F41" s="531"/>
      <c r="G41" s="531"/>
      <c r="H41" s="531"/>
      <c r="I41" s="532"/>
      <c r="J41" s="103"/>
      <c r="K41" s="103"/>
    </row>
    <row r="42" spans="2:11" ht="47.7" customHeight="1" x14ac:dyDescent="0.25">
      <c r="B42" s="530"/>
      <c r="C42" s="531"/>
      <c r="D42" s="531"/>
      <c r="E42" s="531"/>
      <c r="F42" s="531"/>
      <c r="G42" s="531"/>
      <c r="H42" s="531"/>
      <c r="I42" s="532"/>
      <c r="J42" s="103"/>
      <c r="K42" s="103"/>
    </row>
    <row r="43" spans="2:11" ht="47.7" customHeight="1" x14ac:dyDescent="0.25">
      <c r="B43" s="530"/>
      <c r="C43" s="531"/>
      <c r="D43" s="531"/>
      <c r="E43" s="531"/>
      <c r="F43" s="531"/>
      <c r="G43" s="531"/>
      <c r="H43" s="531"/>
      <c r="I43" s="532"/>
      <c r="J43" s="103"/>
      <c r="K43" s="103"/>
    </row>
    <row r="44" spans="2:11" ht="47.7" customHeight="1" x14ac:dyDescent="0.25">
      <c r="B44" s="533"/>
      <c r="C44" s="534"/>
      <c r="D44" s="534"/>
      <c r="E44" s="534"/>
      <c r="F44" s="534"/>
      <c r="G44" s="534"/>
      <c r="H44" s="534"/>
      <c r="I44" s="535"/>
      <c r="J44" s="84"/>
      <c r="K44" s="84"/>
    </row>
    <row r="45" spans="2:11" ht="47.7" customHeight="1" x14ac:dyDescent="0.25">
      <c r="B45" s="150"/>
      <c r="C45" s="167" t="s">
        <v>364</v>
      </c>
      <c r="D45" s="151"/>
      <c r="E45" s="151"/>
      <c r="F45" s="151"/>
      <c r="G45" s="151"/>
      <c r="H45" s="151"/>
      <c r="I45" s="151"/>
      <c r="J45" s="84"/>
      <c r="K45" s="84"/>
    </row>
    <row r="46" spans="2:11" ht="43.2" customHeight="1" x14ac:dyDescent="0.25">
      <c r="B46" s="753" t="s">
        <v>281</v>
      </c>
      <c r="C46" s="729" t="s">
        <v>464</v>
      </c>
      <c r="D46" s="730"/>
      <c r="E46" s="730"/>
      <c r="F46" s="731"/>
      <c r="G46" s="153"/>
      <c r="H46" s="144" t="s">
        <v>148</v>
      </c>
      <c r="I46" s="145" t="s">
        <v>308</v>
      </c>
      <c r="J46" s="104"/>
      <c r="K46" s="104"/>
    </row>
    <row r="47" spans="2:11" ht="43.2" customHeight="1" x14ac:dyDescent="0.25">
      <c r="B47" s="754"/>
      <c r="C47" s="732"/>
      <c r="D47" s="733"/>
      <c r="E47" s="733"/>
      <c r="F47" s="734"/>
      <c r="G47" s="146" t="s">
        <v>365</v>
      </c>
      <c r="H47" s="154">
        <v>354</v>
      </c>
      <c r="I47" s="154">
        <v>1929</v>
      </c>
      <c r="J47" s="104"/>
      <c r="K47" s="104"/>
    </row>
    <row r="48" spans="2:11" ht="42.75" customHeight="1" x14ac:dyDescent="0.25">
      <c r="B48" s="754"/>
      <c r="C48" s="732"/>
      <c r="D48" s="733"/>
      <c r="E48" s="733"/>
      <c r="F48" s="734"/>
      <c r="G48" s="147" t="s">
        <v>366</v>
      </c>
      <c r="H48" s="160" t="s">
        <v>466</v>
      </c>
      <c r="I48" s="160" t="s">
        <v>467</v>
      </c>
      <c r="J48" s="104"/>
      <c r="K48" s="104"/>
    </row>
    <row r="49" spans="2:11" ht="41.4" x14ac:dyDescent="0.25">
      <c r="B49" s="754"/>
      <c r="C49" s="732"/>
      <c r="D49" s="733"/>
      <c r="E49" s="733"/>
      <c r="F49" s="734"/>
      <c r="G49" s="147" t="s">
        <v>367</v>
      </c>
      <c r="H49" s="160" t="s">
        <v>468</v>
      </c>
      <c r="I49" s="160" t="s">
        <v>469</v>
      </c>
      <c r="J49" s="104"/>
      <c r="K49" s="104"/>
    </row>
    <row r="50" spans="2:11" ht="60.75" customHeight="1" x14ac:dyDescent="0.25">
      <c r="B50" s="754"/>
      <c r="C50" s="735"/>
      <c r="D50" s="736"/>
      <c r="E50" s="736"/>
      <c r="F50" s="737"/>
      <c r="G50" s="147" t="s">
        <v>368</v>
      </c>
      <c r="H50" s="161" t="s">
        <v>470</v>
      </c>
      <c r="I50" s="161" t="s">
        <v>471</v>
      </c>
      <c r="J50" s="104"/>
      <c r="K50" s="104"/>
    </row>
    <row r="51" spans="2:11" ht="91.2" customHeight="1" x14ac:dyDescent="0.25">
      <c r="B51" s="754"/>
      <c r="C51" s="740" t="s">
        <v>465</v>
      </c>
      <c r="D51" s="741"/>
      <c r="E51" s="741"/>
      <c r="F51" s="742"/>
      <c r="G51" s="146" t="s">
        <v>369</v>
      </c>
      <c r="H51" s="154">
        <v>19</v>
      </c>
      <c r="I51" s="154">
        <f>393+19</f>
        <v>412</v>
      </c>
      <c r="J51" s="104"/>
      <c r="K51" s="104"/>
    </row>
    <row r="52" spans="2:11" ht="91.2" customHeight="1" x14ac:dyDescent="0.25">
      <c r="B52" s="754"/>
      <c r="C52" s="743"/>
      <c r="D52" s="744"/>
      <c r="E52" s="744"/>
      <c r="F52" s="745"/>
      <c r="G52" s="147" t="s">
        <v>370</v>
      </c>
      <c r="H52" s="154">
        <f>21+2+1+6+2+2+2</f>
        <v>36</v>
      </c>
      <c r="I52" s="154">
        <f>131+36</f>
        <v>167</v>
      </c>
      <c r="J52" s="104"/>
      <c r="K52" s="104"/>
    </row>
    <row r="53" spans="2:11" ht="91.2" customHeight="1" x14ac:dyDescent="0.25">
      <c r="B53" s="754"/>
      <c r="C53" s="743"/>
      <c r="D53" s="744"/>
      <c r="E53" s="744"/>
      <c r="F53" s="745"/>
      <c r="G53" s="147" t="s">
        <v>371</v>
      </c>
      <c r="H53" s="154">
        <v>7</v>
      </c>
      <c r="I53" s="154">
        <v>60</v>
      </c>
      <c r="J53" s="104"/>
      <c r="K53" s="104"/>
    </row>
    <row r="54" spans="2:11" ht="140.4" customHeight="1" x14ac:dyDescent="0.25">
      <c r="B54" s="754"/>
      <c r="C54" s="746"/>
      <c r="D54" s="747"/>
      <c r="E54" s="747"/>
      <c r="F54" s="748"/>
      <c r="G54" s="147" t="s">
        <v>372</v>
      </c>
      <c r="H54" s="154">
        <f>31+25</f>
        <v>56</v>
      </c>
      <c r="I54" s="154">
        <f>359+56</f>
        <v>415</v>
      </c>
      <c r="J54" s="104"/>
      <c r="K54" s="104"/>
    </row>
    <row r="55" spans="2:11" ht="51" customHeight="1" x14ac:dyDescent="0.25">
      <c r="B55" s="754"/>
      <c r="C55" s="729" t="s">
        <v>472</v>
      </c>
      <c r="D55" s="730"/>
      <c r="E55" s="730"/>
      <c r="F55" s="731"/>
      <c r="G55" s="146" t="s">
        <v>373</v>
      </c>
      <c r="H55" s="154">
        <v>14</v>
      </c>
      <c r="I55" s="154">
        <v>51</v>
      </c>
      <c r="J55" s="104"/>
      <c r="K55" s="104"/>
    </row>
    <row r="56" spans="2:11" ht="51" customHeight="1" x14ac:dyDescent="0.25">
      <c r="B56" s="754"/>
      <c r="C56" s="732"/>
      <c r="D56" s="733"/>
      <c r="E56" s="733"/>
      <c r="F56" s="734"/>
      <c r="G56" s="147" t="s">
        <v>374</v>
      </c>
      <c r="H56" s="154">
        <v>4</v>
      </c>
      <c r="I56" s="158">
        <v>59</v>
      </c>
      <c r="J56" s="104"/>
      <c r="K56" s="104"/>
    </row>
    <row r="57" spans="2:11" ht="51" customHeight="1" x14ac:dyDescent="0.25">
      <c r="B57" s="754"/>
      <c r="C57" s="735"/>
      <c r="D57" s="736"/>
      <c r="E57" s="736"/>
      <c r="F57" s="737"/>
      <c r="G57" s="147" t="s">
        <v>375</v>
      </c>
      <c r="H57" s="154">
        <v>0</v>
      </c>
      <c r="I57" s="158">
        <v>27</v>
      </c>
      <c r="J57" s="104"/>
      <c r="K57" s="104"/>
    </row>
    <row r="58" spans="2:11" ht="228.6" customHeight="1" x14ac:dyDescent="0.25">
      <c r="B58" s="148" t="s">
        <v>282</v>
      </c>
      <c r="C58" s="752" t="s">
        <v>473</v>
      </c>
      <c r="D58" s="752"/>
      <c r="E58" s="752"/>
      <c r="F58" s="752"/>
      <c r="G58" s="752"/>
      <c r="H58" s="752"/>
      <c r="I58" s="752"/>
      <c r="J58" s="104"/>
      <c r="K58" s="104"/>
    </row>
    <row r="59" spans="2:11" ht="54" customHeight="1" x14ac:dyDescent="0.25">
      <c r="B59" s="120" t="s">
        <v>283</v>
      </c>
      <c r="C59" s="515" t="s">
        <v>477</v>
      </c>
      <c r="D59" s="516"/>
      <c r="E59" s="516"/>
      <c r="F59" s="516"/>
      <c r="G59" s="516"/>
      <c r="H59" s="516"/>
      <c r="I59" s="517"/>
      <c r="J59" s="104"/>
      <c r="K59" s="104"/>
    </row>
    <row r="60" spans="2:11" ht="22.5" customHeight="1" x14ac:dyDescent="0.25">
      <c r="B60" s="512" t="s">
        <v>284</v>
      </c>
      <c r="C60" s="513"/>
      <c r="D60" s="513"/>
      <c r="E60" s="513"/>
      <c r="F60" s="513"/>
      <c r="G60" s="513"/>
      <c r="H60" s="513"/>
      <c r="I60" s="514"/>
      <c r="J60" s="104"/>
      <c r="K60" s="104"/>
    </row>
    <row r="61" spans="2:11" ht="22.5" customHeight="1" x14ac:dyDescent="0.25">
      <c r="B61" s="508" t="s">
        <v>285</v>
      </c>
      <c r="C61" s="141" t="s">
        <v>286</v>
      </c>
      <c r="D61" s="510" t="s">
        <v>287</v>
      </c>
      <c r="E61" s="510"/>
      <c r="F61" s="510"/>
      <c r="G61" s="510" t="s">
        <v>288</v>
      </c>
      <c r="H61" s="510"/>
      <c r="I61" s="511"/>
      <c r="J61" s="105"/>
      <c r="K61" s="105"/>
    </row>
    <row r="62" spans="2:11" ht="30.75" customHeight="1" x14ac:dyDescent="0.25">
      <c r="B62" s="509"/>
      <c r="C62" s="142"/>
      <c r="D62" s="588"/>
      <c r="E62" s="588"/>
      <c r="F62" s="588"/>
      <c r="G62" s="588"/>
      <c r="H62" s="588"/>
      <c r="I62" s="589"/>
      <c r="J62" s="105"/>
      <c r="K62" s="105"/>
    </row>
    <row r="63" spans="2:11" ht="32.25" customHeight="1" x14ac:dyDescent="0.25">
      <c r="B63" s="121" t="s">
        <v>289</v>
      </c>
      <c r="C63" s="738" t="s">
        <v>476</v>
      </c>
      <c r="D63" s="738"/>
      <c r="E63" s="738"/>
      <c r="F63" s="738"/>
      <c r="G63" s="738"/>
      <c r="H63" s="738"/>
      <c r="I63" s="739"/>
      <c r="J63" s="106"/>
      <c r="K63" s="106"/>
    </row>
    <row r="64" spans="2:11" ht="28.5" customHeight="1" x14ac:dyDescent="0.25">
      <c r="B64" s="122" t="s">
        <v>291</v>
      </c>
      <c r="C64" s="738" t="s">
        <v>476</v>
      </c>
      <c r="D64" s="738"/>
      <c r="E64" s="738"/>
      <c r="F64" s="738"/>
      <c r="G64" s="738"/>
      <c r="H64" s="738"/>
      <c r="I64" s="739"/>
      <c r="J64" s="106"/>
      <c r="K64" s="106"/>
    </row>
    <row r="65" spans="2:11" ht="30" customHeight="1" x14ac:dyDescent="0.25">
      <c r="B65" s="120" t="s">
        <v>292</v>
      </c>
      <c r="C65" s="738" t="s">
        <v>474</v>
      </c>
      <c r="D65" s="738"/>
      <c r="E65" s="738"/>
      <c r="F65" s="738"/>
      <c r="G65" s="738"/>
      <c r="H65" s="738"/>
      <c r="I65" s="739"/>
      <c r="J65" s="107"/>
      <c r="K65" s="107"/>
    </row>
    <row r="66" spans="2:11" ht="31.5" customHeight="1" thickBot="1" x14ac:dyDescent="0.3">
      <c r="B66" s="116" t="s">
        <v>294</v>
      </c>
      <c r="C66" s="738" t="s">
        <v>475</v>
      </c>
      <c r="D66" s="738"/>
      <c r="E66" s="738"/>
      <c r="F66" s="738"/>
      <c r="G66" s="738"/>
      <c r="H66" s="738"/>
      <c r="I66" s="739"/>
      <c r="J66" s="108"/>
      <c r="K66" s="108"/>
    </row>
    <row r="67" spans="2:11" x14ac:dyDescent="0.25">
      <c r="B67" s="109"/>
      <c r="C67" s="110"/>
      <c r="D67" s="110"/>
      <c r="E67" s="111"/>
      <c r="F67" s="111"/>
      <c r="G67" s="117"/>
      <c r="H67" s="113"/>
      <c r="I67" s="110"/>
      <c r="J67" s="108"/>
      <c r="K67" s="108"/>
    </row>
    <row r="68" spans="2:11" x14ac:dyDescent="0.25">
      <c r="B68" s="109"/>
      <c r="C68" s="110"/>
      <c r="D68" s="110"/>
      <c r="E68" s="111"/>
      <c r="F68" s="111"/>
      <c r="G68" s="117"/>
      <c r="H68" s="113"/>
      <c r="I68" s="110"/>
      <c r="J68" s="108"/>
      <c r="K68" s="108"/>
    </row>
    <row r="69" spans="2:11" x14ac:dyDescent="0.25">
      <c r="B69" s="109"/>
      <c r="C69" s="110"/>
      <c r="D69" s="110"/>
      <c r="E69" s="111"/>
      <c r="F69" s="111"/>
      <c r="G69" s="117"/>
      <c r="H69" s="113"/>
      <c r="I69" s="110"/>
      <c r="J69" s="108"/>
      <c r="K69" s="108"/>
    </row>
    <row r="70" spans="2:11" x14ac:dyDescent="0.25">
      <c r="B70" s="109"/>
      <c r="C70" s="110"/>
      <c r="D70" s="110"/>
      <c r="E70" s="111"/>
      <c r="F70" s="111"/>
      <c r="G70" s="117"/>
      <c r="H70" s="113"/>
      <c r="I70" s="110"/>
      <c r="J70" s="108"/>
      <c r="K70" s="108"/>
    </row>
    <row r="71" spans="2:11" x14ac:dyDescent="0.25">
      <c r="B71" s="109"/>
      <c r="C71" s="110"/>
      <c r="D71" s="110"/>
      <c r="E71" s="111"/>
      <c r="F71" s="111"/>
      <c r="G71" s="117"/>
      <c r="H71" s="113"/>
      <c r="I71" s="110"/>
      <c r="J71" s="108"/>
      <c r="K71" s="108"/>
    </row>
    <row r="72" spans="2:11" ht="25.5" customHeight="1" x14ac:dyDescent="0.25">
      <c r="B72" s="109"/>
      <c r="C72" s="110"/>
      <c r="D72" s="110"/>
      <c r="E72" s="111"/>
      <c r="F72" s="111"/>
      <c r="G72" s="117"/>
      <c r="H72" s="113"/>
      <c r="I72" s="110"/>
      <c r="J72" s="108"/>
      <c r="K72" s="108"/>
    </row>
  </sheetData>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39:I39"/>
    <mergeCell ref="B40:I44"/>
    <mergeCell ref="C58:I58"/>
    <mergeCell ref="C59:I59"/>
    <mergeCell ref="B46:B57"/>
    <mergeCell ref="C24:E24"/>
    <mergeCell ref="G24:I24"/>
    <mergeCell ref="B25:I25"/>
    <mergeCell ref="F27:F38"/>
    <mergeCell ref="G27:G38"/>
    <mergeCell ref="I27:I38"/>
    <mergeCell ref="B60:I60"/>
    <mergeCell ref="C55:F57"/>
    <mergeCell ref="C46:F50"/>
    <mergeCell ref="C66:I66"/>
    <mergeCell ref="B61:B62"/>
    <mergeCell ref="D61:F61"/>
    <mergeCell ref="G61:I61"/>
    <mergeCell ref="D62:F62"/>
    <mergeCell ref="G62:I62"/>
    <mergeCell ref="C63:I63"/>
    <mergeCell ref="C64:I64"/>
    <mergeCell ref="C65:I65"/>
    <mergeCell ref="C51:F54"/>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dimension ref="B1:S113"/>
  <sheetViews>
    <sheetView tabSelected="1" view="pageBreakPreview" topLeftCell="B57" zoomScale="85" zoomScaleNormal="85" zoomScaleSheetLayoutView="85" zoomScalePageLayoutView="85" workbookViewId="0">
      <selection activeCell="I63" sqref="I63"/>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20.109375" style="83" customWidth="1"/>
    <col min="5" max="5" width="16.44140625" style="83" customWidth="1"/>
    <col min="6" max="6" width="25" style="83" customWidth="1"/>
    <col min="7" max="7" width="24.33203125" style="114" customWidth="1"/>
    <col min="8" max="8" width="24.44140625" style="83" customWidth="1"/>
    <col min="9" max="9" width="26" style="83" customWidth="1"/>
    <col min="10" max="19" width="10.6640625" style="81"/>
    <col min="20" max="16384" width="10.6640625" style="83"/>
  </cols>
  <sheetData>
    <row r="1" spans="2:9" ht="37.5" customHeight="1" x14ac:dyDescent="0.25">
      <c r="B1" s="579"/>
      <c r="C1" s="582" t="s">
        <v>1</v>
      </c>
      <c r="D1" s="582"/>
      <c r="E1" s="582"/>
      <c r="F1" s="582"/>
      <c r="G1" s="582"/>
      <c r="H1" s="582"/>
      <c r="I1" s="583"/>
    </row>
    <row r="2" spans="2:9" ht="37.5" customHeight="1" x14ac:dyDescent="0.25">
      <c r="B2" s="580"/>
      <c r="C2" s="586" t="s">
        <v>218</v>
      </c>
      <c r="D2" s="586"/>
      <c r="E2" s="586"/>
      <c r="F2" s="586"/>
      <c r="G2" s="586"/>
      <c r="H2" s="586"/>
      <c r="I2" s="584"/>
    </row>
    <row r="3" spans="2:9" ht="37.5" customHeight="1" thickBot="1" x14ac:dyDescent="0.3">
      <c r="B3" s="581"/>
      <c r="C3" s="587" t="s">
        <v>219</v>
      </c>
      <c r="D3" s="587"/>
      <c r="E3" s="587"/>
      <c r="F3" s="587" t="s">
        <v>220</v>
      </c>
      <c r="G3" s="587"/>
      <c r="H3" s="587"/>
      <c r="I3" s="585"/>
    </row>
    <row r="4" spans="2:9" ht="23.25" customHeight="1" x14ac:dyDescent="0.25">
      <c r="B4" s="575" t="s">
        <v>221</v>
      </c>
      <c r="C4" s="576"/>
      <c r="D4" s="576"/>
      <c r="E4" s="576"/>
      <c r="F4" s="576"/>
      <c r="G4" s="576"/>
      <c r="H4" s="576"/>
      <c r="I4" s="577"/>
    </row>
    <row r="5" spans="2:9" ht="24" customHeight="1" x14ac:dyDescent="0.25">
      <c r="B5" s="512" t="s">
        <v>222</v>
      </c>
      <c r="C5" s="513"/>
      <c r="D5" s="513"/>
      <c r="E5" s="513"/>
      <c r="F5" s="513"/>
      <c r="G5" s="513"/>
      <c r="H5" s="513"/>
      <c r="I5" s="514"/>
    </row>
    <row r="6" spans="2:9" ht="30.75" customHeight="1" x14ac:dyDescent="0.25">
      <c r="B6" s="118" t="s">
        <v>223</v>
      </c>
      <c r="C6" s="134">
        <v>6</v>
      </c>
      <c r="D6" s="578" t="s">
        <v>224</v>
      </c>
      <c r="E6" s="578"/>
      <c r="F6" s="556" t="s">
        <v>376</v>
      </c>
      <c r="G6" s="556"/>
      <c r="H6" s="556"/>
      <c r="I6" s="557"/>
    </row>
    <row r="7" spans="2:9" ht="30.75" customHeight="1" x14ac:dyDescent="0.25">
      <c r="B7" s="118" t="s">
        <v>226</v>
      </c>
      <c r="C7" s="134" t="s">
        <v>84</v>
      </c>
      <c r="D7" s="578" t="s">
        <v>227</v>
      </c>
      <c r="E7" s="578"/>
      <c r="F7" s="556" t="s">
        <v>228</v>
      </c>
      <c r="G7" s="556"/>
      <c r="H7" s="135" t="s">
        <v>229</v>
      </c>
      <c r="I7" s="136" t="s">
        <v>84</v>
      </c>
    </row>
    <row r="8" spans="2:9" ht="30.75" customHeight="1" x14ac:dyDescent="0.25">
      <c r="B8" s="118" t="s">
        <v>230</v>
      </c>
      <c r="C8" s="556" t="s">
        <v>231</v>
      </c>
      <c r="D8" s="556"/>
      <c r="E8" s="556"/>
      <c r="F8" s="556"/>
      <c r="G8" s="135" t="s">
        <v>232</v>
      </c>
      <c r="H8" s="568">
        <v>7550</v>
      </c>
      <c r="I8" s="569"/>
    </row>
    <row r="9" spans="2:9" ht="30.75" customHeight="1" x14ac:dyDescent="0.25">
      <c r="B9" s="118" t="s">
        <v>68</v>
      </c>
      <c r="C9" s="570" t="s">
        <v>81</v>
      </c>
      <c r="D9" s="570"/>
      <c r="E9" s="570"/>
      <c r="F9" s="570"/>
      <c r="G9" s="135" t="s">
        <v>233</v>
      </c>
      <c r="H9" s="571" t="s">
        <v>377</v>
      </c>
      <c r="I9" s="572"/>
    </row>
    <row r="10" spans="2:9" ht="75.75" customHeight="1" x14ac:dyDescent="0.25">
      <c r="B10" s="118" t="s">
        <v>235</v>
      </c>
      <c r="C10" s="556" t="s">
        <v>378</v>
      </c>
      <c r="D10" s="556"/>
      <c r="E10" s="556"/>
      <c r="F10" s="556"/>
      <c r="G10" s="556"/>
      <c r="H10" s="556"/>
      <c r="I10" s="557"/>
    </row>
    <row r="11" spans="2:9" ht="30.75" customHeight="1" x14ac:dyDescent="0.25">
      <c r="B11" s="118" t="s">
        <v>237</v>
      </c>
      <c r="C11" s="549" t="s">
        <v>355</v>
      </c>
      <c r="D11" s="549"/>
      <c r="E11" s="549"/>
      <c r="F11" s="549"/>
      <c r="G11" s="549"/>
      <c r="H11" s="549"/>
      <c r="I11" s="573"/>
    </row>
    <row r="12" spans="2:9" ht="30.75" customHeight="1" x14ac:dyDescent="0.25">
      <c r="B12" s="118" t="s">
        <v>239</v>
      </c>
      <c r="C12" s="556" t="s">
        <v>379</v>
      </c>
      <c r="D12" s="556"/>
      <c r="E12" s="556"/>
      <c r="F12" s="556"/>
      <c r="G12" s="135" t="s">
        <v>241</v>
      </c>
      <c r="H12" s="561" t="s">
        <v>106</v>
      </c>
      <c r="I12" s="562"/>
    </row>
    <row r="13" spans="2:9" ht="30.75" customHeight="1" x14ac:dyDescent="0.25">
      <c r="B13" s="118" t="s">
        <v>242</v>
      </c>
      <c r="C13" s="574" t="s">
        <v>243</v>
      </c>
      <c r="D13" s="574"/>
      <c r="E13" s="574"/>
      <c r="F13" s="574"/>
      <c r="G13" s="135" t="s">
        <v>244</v>
      </c>
      <c r="H13" s="549" t="s">
        <v>77</v>
      </c>
      <c r="I13" s="573"/>
    </row>
    <row r="14" spans="2:9" ht="30" customHeight="1" x14ac:dyDescent="0.25">
      <c r="B14" s="118" t="s">
        <v>245</v>
      </c>
      <c r="C14" s="661" t="s">
        <v>380</v>
      </c>
      <c r="D14" s="661"/>
      <c r="E14" s="661"/>
      <c r="F14" s="661"/>
      <c r="G14" s="661"/>
      <c r="H14" s="661"/>
      <c r="I14" s="662"/>
    </row>
    <row r="15" spans="2:9" ht="30.75" customHeight="1" x14ac:dyDescent="0.25">
      <c r="B15" s="118" t="s">
        <v>247</v>
      </c>
      <c r="C15" s="547" t="s">
        <v>248</v>
      </c>
      <c r="D15" s="547"/>
      <c r="E15" s="547"/>
      <c r="F15" s="547"/>
      <c r="G15" s="547"/>
      <c r="H15" s="547"/>
      <c r="I15" s="548"/>
    </row>
    <row r="16" spans="2:9" ht="20.25" customHeight="1" x14ac:dyDescent="0.25">
      <c r="B16" s="118" t="s">
        <v>249</v>
      </c>
      <c r="C16" s="556" t="s">
        <v>381</v>
      </c>
      <c r="D16" s="556"/>
      <c r="E16" s="556"/>
      <c r="F16" s="556"/>
      <c r="G16" s="556"/>
      <c r="H16" s="556"/>
      <c r="I16" s="557"/>
    </row>
    <row r="17" spans="2:9" ht="30.75" customHeight="1" x14ac:dyDescent="0.25">
      <c r="B17" s="118" t="s">
        <v>251</v>
      </c>
      <c r="C17" s="549" t="s">
        <v>56</v>
      </c>
      <c r="D17" s="550"/>
      <c r="E17" s="550"/>
      <c r="F17" s="550"/>
      <c r="G17" s="550"/>
      <c r="H17" s="550"/>
      <c r="I17" s="551"/>
    </row>
    <row r="18" spans="2:9" ht="18" customHeight="1" x14ac:dyDescent="0.25">
      <c r="B18" s="552" t="s">
        <v>253</v>
      </c>
      <c r="C18" s="553" t="s">
        <v>254</v>
      </c>
      <c r="D18" s="553"/>
      <c r="E18" s="553"/>
      <c r="F18" s="554" t="s">
        <v>255</v>
      </c>
      <c r="G18" s="554"/>
      <c r="H18" s="554"/>
      <c r="I18" s="555"/>
    </row>
    <row r="19" spans="2:9" ht="39.75" customHeight="1" x14ac:dyDescent="0.25">
      <c r="B19" s="552"/>
      <c r="C19" s="521" t="s">
        <v>382</v>
      </c>
      <c r="D19" s="522"/>
      <c r="E19" s="543"/>
      <c r="F19" s="556" t="str">
        <f>C19</f>
        <v>Actividades que se ejecutaron para la implementación de los procesos transversales</v>
      </c>
      <c r="G19" s="556"/>
      <c r="H19" s="556"/>
      <c r="I19" s="557"/>
    </row>
    <row r="20" spans="2:9" ht="39.75" customHeight="1" x14ac:dyDescent="0.25">
      <c r="B20" s="118" t="s">
        <v>258</v>
      </c>
      <c r="C20" s="521" t="s">
        <v>383</v>
      </c>
      <c r="D20" s="522"/>
      <c r="E20" s="543"/>
      <c r="F20" s="556" t="str">
        <f>C20</f>
        <v>Cantidad de actividades que se ejecutaron para la implementacion de los procesos transversales</v>
      </c>
      <c r="G20" s="556"/>
      <c r="H20" s="556"/>
      <c r="I20" s="557"/>
    </row>
    <row r="21" spans="2:9" ht="30" customHeight="1" x14ac:dyDescent="0.25">
      <c r="B21" s="118" t="s">
        <v>259</v>
      </c>
      <c r="C21" s="563"/>
      <c r="D21" s="564"/>
      <c r="E21" s="565"/>
      <c r="F21" s="521"/>
      <c r="G21" s="522"/>
      <c r="H21" s="522"/>
      <c r="I21" s="523"/>
    </row>
    <row r="22" spans="2:9" ht="23.25" customHeight="1" x14ac:dyDescent="0.25">
      <c r="B22" s="118" t="s">
        <v>262</v>
      </c>
      <c r="C22" s="542">
        <v>44562</v>
      </c>
      <c r="D22" s="566"/>
      <c r="E22" s="567"/>
      <c r="F22" s="135" t="s">
        <v>263</v>
      </c>
      <c r="G22" s="231">
        <v>8.7999999999999995E-2</v>
      </c>
      <c r="H22" s="135" t="s">
        <v>264</v>
      </c>
      <c r="I22" s="137">
        <v>8.7999999999999995E-2</v>
      </c>
    </row>
    <row r="23" spans="2:9" ht="27" customHeight="1" x14ac:dyDescent="0.25">
      <c r="B23" s="118" t="s">
        <v>265</v>
      </c>
      <c r="C23" s="542">
        <v>44926</v>
      </c>
      <c r="D23" s="522"/>
      <c r="E23" s="543"/>
      <c r="F23" s="135" t="s">
        <v>266</v>
      </c>
      <c r="G23" s="769">
        <v>0.3</v>
      </c>
      <c r="H23" s="770"/>
      <c r="I23" s="771"/>
    </row>
    <row r="24" spans="2:9" ht="30.75" customHeight="1" x14ac:dyDescent="0.25">
      <c r="B24" s="226" t="s">
        <v>267</v>
      </c>
      <c r="C24" s="518" t="s">
        <v>268</v>
      </c>
      <c r="D24" s="519"/>
      <c r="E24" s="520"/>
      <c r="F24" s="227" t="s">
        <v>269</v>
      </c>
      <c r="G24" s="521" t="s">
        <v>46</v>
      </c>
      <c r="H24" s="522"/>
      <c r="I24" s="523"/>
    </row>
    <row r="25" spans="2:9" ht="22.5" customHeight="1" x14ac:dyDescent="0.25">
      <c r="B25" s="512" t="s">
        <v>270</v>
      </c>
      <c r="C25" s="513"/>
      <c r="D25" s="513"/>
      <c r="E25" s="513"/>
      <c r="F25" s="513"/>
      <c r="G25" s="513"/>
      <c r="H25" s="513"/>
      <c r="I25" s="514"/>
    </row>
    <row r="26" spans="2:9" ht="43.5" customHeight="1" x14ac:dyDescent="0.25">
      <c r="B26" s="100" t="s">
        <v>148</v>
      </c>
      <c r="C26" s="138" t="s">
        <v>271</v>
      </c>
      <c r="D26" s="138" t="s">
        <v>272</v>
      </c>
      <c r="E26" s="139" t="s">
        <v>273</v>
      </c>
      <c r="F26" s="138" t="s">
        <v>274</v>
      </c>
      <c r="G26" s="138" t="s">
        <v>275</v>
      </c>
      <c r="H26" s="139" t="s">
        <v>276</v>
      </c>
      <c r="I26" s="140" t="s">
        <v>277</v>
      </c>
    </row>
    <row r="27" spans="2:9" ht="15.45" customHeight="1" x14ac:dyDescent="0.25">
      <c r="B27" s="100" t="s">
        <v>278</v>
      </c>
      <c r="C27" s="170">
        <f>0.91*$G$23</f>
        <v>0.27300000000000002</v>
      </c>
      <c r="D27" s="170">
        <f>0.732*$G$23</f>
        <v>0.21959999999999999</v>
      </c>
      <c r="E27" s="131">
        <f>D27/C27</f>
        <v>0.80439560439560431</v>
      </c>
      <c r="F27" s="763">
        <f>SUM(C27:C38)</f>
        <v>3.0038999999999998</v>
      </c>
      <c r="G27" s="763">
        <f>SUM(D27:D38)</f>
        <v>2.3449985554953772</v>
      </c>
      <c r="H27" s="246">
        <f>+(D27*100%)/$G$23</f>
        <v>0.73199999999999998</v>
      </c>
      <c r="I27" s="766">
        <f>G27+I22</f>
        <v>2.4329985554953772</v>
      </c>
    </row>
    <row r="28" spans="2:9" ht="15.45" customHeight="1" x14ac:dyDescent="0.25">
      <c r="B28" s="100" t="s">
        <v>158</v>
      </c>
      <c r="C28" s="170">
        <f>0.84*$G$23</f>
        <v>0.252</v>
      </c>
      <c r="D28" s="170">
        <f>0.793*$G$23</f>
        <v>0.2379</v>
      </c>
      <c r="E28" s="131">
        <f t="shared" ref="E28:E31" si="0">D28/C28</f>
        <v>0.94404761904761902</v>
      </c>
      <c r="F28" s="764"/>
      <c r="G28" s="764"/>
      <c r="H28" s="246">
        <f>+IF(D28="","",((D28*100%)/$G$23)+H27)</f>
        <v>1.5249999999999999</v>
      </c>
      <c r="I28" s="767"/>
    </row>
    <row r="29" spans="2:9" ht="15.45" customHeight="1" x14ac:dyDescent="0.25">
      <c r="B29" s="100" t="s">
        <v>159</v>
      </c>
      <c r="C29" s="170">
        <f>0.877*$G$23</f>
        <v>0.2631</v>
      </c>
      <c r="D29" s="170">
        <f>0.754*$G$23</f>
        <v>0.22619999999999998</v>
      </c>
      <c r="E29" s="131">
        <f t="shared" si="0"/>
        <v>0.8597491448118586</v>
      </c>
      <c r="F29" s="764"/>
      <c r="G29" s="764"/>
      <c r="H29" s="246">
        <f t="shared" ref="H29:H38" si="1">+IF(D29="","",((D29*100%)/$G$23)+H28)</f>
        <v>2.2789999999999999</v>
      </c>
      <c r="I29" s="767"/>
    </row>
    <row r="30" spans="2:9" ht="15.45" customHeight="1" x14ac:dyDescent="0.25">
      <c r="B30" s="100" t="s">
        <v>160</v>
      </c>
      <c r="C30" s="170">
        <f>0.77*$G$23</f>
        <v>0.23099999999999998</v>
      </c>
      <c r="D30" s="170">
        <f>0.712*$G$23</f>
        <v>0.21359999999999998</v>
      </c>
      <c r="E30" s="131">
        <f t="shared" si="0"/>
        <v>0.92467532467532465</v>
      </c>
      <c r="F30" s="764"/>
      <c r="G30" s="764"/>
      <c r="H30" s="246">
        <f t="shared" si="1"/>
        <v>2.9909999999999997</v>
      </c>
      <c r="I30" s="767"/>
    </row>
    <row r="31" spans="2:9" ht="15.45" customHeight="1" x14ac:dyDescent="0.25">
      <c r="B31" s="100" t="s">
        <v>161</v>
      </c>
      <c r="C31" s="170">
        <f>0.768*$G$23</f>
        <v>0.23039999999999999</v>
      </c>
      <c r="D31" s="170">
        <f>0.768*$G$23</f>
        <v>0.23039999999999999</v>
      </c>
      <c r="E31" s="131">
        <f t="shared" si="0"/>
        <v>1</v>
      </c>
      <c r="F31" s="764"/>
      <c r="G31" s="764"/>
      <c r="H31" s="246">
        <f t="shared" si="1"/>
        <v>3.7589999999999995</v>
      </c>
      <c r="I31" s="767"/>
    </row>
    <row r="32" spans="2:9" ht="15.45" customHeight="1" x14ac:dyDescent="0.25">
      <c r="B32" s="100" t="s">
        <v>162</v>
      </c>
      <c r="C32" s="170">
        <f>0.948*$G$23</f>
        <v>0.28439999999999999</v>
      </c>
      <c r="D32" s="170">
        <f>+C32*97.2%</f>
        <v>0.27643679999999998</v>
      </c>
      <c r="E32" s="131">
        <f>D32/C32</f>
        <v>0.97199999999999998</v>
      </c>
      <c r="F32" s="764"/>
      <c r="G32" s="764"/>
      <c r="H32" s="246">
        <f t="shared" si="1"/>
        <v>4.6804559999999995</v>
      </c>
      <c r="I32" s="767"/>
    </row>
    <row r="33" spans="2:10" ht="19.5" customHeight="1" x14ac:dyDescent="0.25">
      <c r="B33" s="100" t="s">
        <v>163</v>
      </c>
      <c r="C33" s="170">
        <f>0.77*$G$23</f>
        <v>0.23099999999999998</v>
      </c>
      <c r="D33" s="170">
        <f>0.77*$G$23</f>
        <v>0.23099999999999998</v>
      </c>
      <c r="E33" s="131">
        <f t="shared" ref="E33:E38" si="2">D33/C33</f>
        <v>1</v>
      </c>
      <c r="F33" s="764"/>
      <c r="G33" s="764"/>
      <c r="H33" s="246">
        <f t="shared" si="1"/>
        <v>5.4504559999999991</v>
      </c>
      <c r="I33" s="767"/>
      <c r="J33" s="293"/>
    </row>
    <row r="34" spans="2:10" ht="19.5" customHeight="1" x14ac:dyDescent="0.25">
      <c r="B34" s="100" t="s">
        <v>164</v>
      </c>
      <c r="C34" s="170">
        <f>0.787*$G$23</f>
        <v>0.2361</v>
      </c>
      <c r="D34" s="170">
        <f>+C34</f>
        <v>0.2361</v>
      </c>
      <c r="E34" s="131">
        <f t="shared" si="2"/>
        <v>1</v>
      </c>
      <c r="F34" s="764"/>
      <c r="G34" s="764"/>
      <c r="H34" s="246">
        <f t="shared" si="1"/>
        <v>6.237455999999999</v>
      </c>
      <c r="I34" s="767"/>
    </row>
    <row r="35" spans="2:10" ht="19.5" customHeight="1" x14ac:dyDescent="0.25">
      <c r="B35" s="100" t="s">
        <v>165</v>
      </c>
      <c r="C35" s="170">
        <f>0.804*$G$23</f>
        <v>0.2412</v>
      </c>
      <c r="D35" s="170">
        <v>0.24276175549537768</v>
      </c>
      <c r="E35" s="131">
        <f t="shared" si="2"/>
        <v>1.0064749398647499</v>
      </c>
      <c r="F35" s="764"/>
      <c r="G35" s="764"/>
      <c r="H35" s="246">
        <f t="shared" si="1"/>
        <v>7.0466618516512582</v>
      </c>
      <c r="I35" s="767"/>
    </row>
    <row r="36" spans="2:10" ht="19.5" customHeight="1" x14ac:dyDescent="0.25">
      <c r="B36" s="100" t="s">
        <v>166</v>
      </c>
      <c r="C36" s="170">
        <f>0.77*$G$23</f>
        <v>0.23099999999999998</v>
      </c>
      <c r="D36" s="170">
        <f>0.77*$G$23</f>
        <v>0.23099999999999998</v>
      </c>
      <c r="E36" s="131">
        <f t="shared" si="2"/>
        <v>1</v>
      </c>
      <c r="F36" s="764"/>
      <c r="G36" s="764"/>
      <c r="H36" s="246">
        <f t="shared" si="1"/>
        <v>7.8166618516512578</v>
      </c>
      <c r="I36" s="767"/>
    </row>
    <row r="37" spans="2:10" ht="19.5" customHeight="1" x14ac:dyDescent="0.25">
      <c r="B37" s="100" t="s">
        <v>167</v>
      </c>
      <c r="C37" s="170">
        <f>0.912*$G$23</f>
        <v>0.27360000000000001</v>
      </c>
      <c r="D37" s="170"/>
      <c r="E37" s="131">
        <f t="shared" si="2"/>
        <v>0</v>
      </c>
      <c r="F37" s="764"/>
      <c r="G37" s="764"/>
      <c r="H37" s="246" t="str">
        <f t="shared" si="1"/>
        <v/>
      </c>
      <c r="I37" s="767"/>
    </row>
    <row r="38" spans="2:10" ht="19.5" customHeight="1" x14ac:dyDescent="0.25">
      <c r="B38" s="100" t="s">
        <v>168</v>
      </c>
      <c r="C38" s="170">
        <f>0.857*$G$23</f>
        <v>0.2571</v>
      </c>
      <c r="D38" s="170"/>
      <c r="E38" s="131">
        <f t="shared" si="2"/>
        <v>0</v>
      </c>
      <c r="F38" s="765"/>
      <c r="G38" s="765"/>
      <c r="H38" s="246" t="str">
        <f t="shared" si="1"/>
        <v/>
      </c>
      <c r="I38" s="768"/>
    </row>
    <row r="39" spans="2:10" ht="267.60000000000002" customHeight="1" x14ac:dyDescent="0.25">
      <c r="B39" s="119" t="s">
        <v>280</v>
      </c>
      <c r="C39" s="761" t="s">
        <v>384</v>
      </c>
      <c r="D39" s="761"/>
      <c r="E39" s="761"/>
      <c r="F39" s="761"/>
      <c r="G39" s="761"/>
      <c r="H39" s="761"/>
      <c r="I39" s="762"/>
    </row>
    <row r="40" spans="2:10" ht="34.5" customHeight="1" x14ac:dyDescent="0.25">
      <c r="B40" s="527"/>
      <c r="C40" s="528"/>
      <c r="D40" s="528"/>
      <c r="E40" s="528"/>
      <c r="F40" s="528"/>
      <c r="G40" s="528"/>
      <c r="H40" s="528"/>
      <c r="I40" s="529"/>
    </row>
    <row r="41" spans="2:10" ht="34.5" customHeight="1" x14ac:dyDescent="0.25">
      <c r="B41" s="530"/>
      <c r="C41" s="531"/>
      <c r="D41" s="531"/>
      <c r="E41" s="531"/>
      <c r="F41" s="531"/>
      <c r="G41" s="531"/>
      <c r="H41" s="531"/>
      <c r="I41" s="532"/>
    </row>
    <row r="42" spans="2:10" ht="34.5" customHeight="1" x14ac:dyDescent="0.25">
      <c r="B42" s="530"/>
      <c r="C42" s="531"/>
      <c r="D42" s="531"/>
      <c r="E42" s="531"/>
      <c r="F42" s="531"/>
      <c r="G42" s="531"/>
      <c r="H42" s="531"/>
      <c r="I42" s="532"/>
    </row>
    <row r="43" spans="2:10" ht="34.5" customHeight="1" x14ac:dyDescent="0.25">
      <c r="B43" s="530"/>
      <c r="C43" s="531"/>
      <c r="D43" s="531"/>
      <c r="E43" s="531"/>
      <c r="F43" s="531"/>
      <c r="G43" s="531"/>
      <c r="H43" s="531"/>
      <c r="I43" s="532"/>
    </row>
    <row r="44" spans="2:10" ht="34.5" customHeight="1" x14ac:dyDescent="0.25">
      <c r="B44" s="533"/>
      <c r="C44" s="534"/>
      <c r="D44" s="534"/>
      <c r="E44" s="534"/>
      <c r="F44" s="534"/>
      <c r="G44" s="534"/>
      <c r="H44" s="534"/>
      <c r="I44" s="535"/>
    </row>
    <row r="45" spans="2:10" ht="23.25" customHeight="1" x14ac:dyDescent="0.25">
      <c r="B45" s="670" t="s">
        <v>281</v>
      </c>
      <c r="C45" s="802"/>
      <c r="D45" s="803"/>
      <c r="E45" s="803"/>
      <c r="F45" s="803"/>
      <c r="G45" s="803"/>
      <c r="H45" s="155" t="s">
        <v>148</v>
      </c>
      <c r="I45" s="156" t="s">
        <v>308</v>
      </c>
    </row>
    <row r="46" spans="2:10" ht="69.599999999999994" customHeight="1" x14ac:dyDescent="0.25">
      <c r="B46" s="671"/>
      <c r="C46" s="807" t="s">
        <v>479</v>
      </c>
      <c r="D46" s="808"/>
      <c r="E46" s="808"/>
      <c r="F46" s="808"/>
      <c r="G46" s="133" t="s">
        <v>385</v>
      </c>
      <c r="H46" s="158">
        <v>1180</v>
      </c>
      <c r="I46" s="158">
        <v>11365</v>
      </c>
    </row>
    <row r="47" spans="2:10" ht="69.599999999999994" customHeight="1" x14ac:dyDescent="0.25">
      <c r="B47" s="671"/>
      <c r="C47" s="809"/>
      <c r="D47" s="810"/>
      <c r="E47" s="810"/>
      <c r="F47" s="810"/>
      <c r="G47" s="133" t="s">
        <v>386</v>
      </c>
      <c r="H47" s="158">
        <v>119</v>
      </c>
      <c r="I47" s="158">
        <v>600</v>
      </c>
    </row>
    <row r="48" spans="2:10" ht="69.599999999999994" customHeight="1" x14ac:dyDescent="0.25">
      <c r="B48" s="671"/>
      <c r="C48" s="809"/>
      <c r="D48" s="810"/>
      <c r="E48" s="810"/>
      <c r="F48" s="810"/>
      <c r="G48" s="133" t="s">
        <v>387</v>
      </c>
      <c r="H48" s="157">
        <v>2909</v>
      </c>
      <c r="I48" s="157">
        <f>18428+H48</f>
        <v>21337</v>
      </c>
    </row>
    <row r="49" spans="2:19" ht="54.6" customHeight="1" x14ac:dyDescent="0.25">
      <c r="B49" s="671"/>
      <c r="C49" s="811" t="s">
        <v>480</v>
      </c>
      <c r="D49" s="812"/>
      <c r="E49" s="812"/>
      <c r="F49" s="813"/>
      <c r="G49" s="133" t="s">
        <v>388</v>
      </c>
      <c r="H49" s="290">
        <v>10</v>
      </c>
      <c r="I49" s="290">
        <v>47</v>
      </c>
    </row>
    <row r="50" spans="2:19" ht="54.6" customHeight="1" x14ac:dyDescent="0.25">
      <c r="B50" s="671"/>
      <c r="C50" s="814"/>
      <c r="D50" s="815"/>
      <c r="E50" s="815"/>
      <c r="F50" s="816"/>
      <c r="G50" s="133" t="s">
        <v>389</v>
      </c>
      <c r="H50" s="290">
        <v>6</v>
      </c>
      <c r="I50" s="290">
        <v>35</v>
      </c>
    </row>
    <row r="51" spans="2:19" ht="54.6" customHeight="1" x14ac:dyDescent="0.25">
      <c r="B51" s="671"/>
      <c r="C51" s="814"/>
      <c r="D51" s="815"/>
      <c r="E51" s="815"/>
      <c r="F51" s="816"/>
      <c r="G51" s="133" t="s">
        <v>390</v>
      </c>
      <c r="H51" s="290">
        <v>8</v>
      </c>
      <c r="I51" s="290">
        <v>53</v>
      </c>
    </row>
    <row r="52" spans="2:19" ht="54.6" customHeight="1" x14ac:dyDescent="0.25">
      <c r="B52" s="671"/>
      <c r="C52" s="817"/>
      <c r="D52" s="818"/>
      <c r="E52" s="818"/>
      <c r="F52" s="819"/>
      <c r="G52" s="133" t="s">
        <v>391</v>
      </c>
      <c r="H52" s="290">
        <v>2</v>
      </c>
      <c r="I52" s="290">
        <v>6</v>
      </c>
    </row>
    <row r="53" spans="2:19" ht="171.6" customHeight="1" x14ac:dyDescent="0.25">
      <c r="B53" s="671"/>
      <c r="C53" s="784" t="s">
        <v>450</v>
      </c>
      <c r="D53" s="785"/>
      <c r="E53" s="785"/>
      <c r="F53" s="786"/>
      <c r="G53" s="133" t="s">
        <v>392</v>
      </c>
      <c r="H53" s="290" t="s">
        <v>451</v>
      </c>
      <c r="I53" s="290" t="s">
        <v>452</v>
      </c>
    </row>
    <row r="54" spans="2:19" ht="92.4" customHeight="1" x14ac:dyDescent="0.25">
      <c r="B54" s="671"/>
      <c r="C54" s="787"/>
      <c r="D54" s="788"/>
      <c r="E54" s="788"/>
      <c r="F54" s="789"/>
      <c r="G54" s="133" t="s">
        <v>393</v>
      </c>
      <c r="H54" s="290">
        <v>124</v>
      </c>
      <c r="I54" s="290">
        <v>1441</v>
      </c>
    </row>
    <row r="55" spans="2:19" ht="66" customHeight="1" x14ac:dyDescent="0.25">
      <c r="B55" s="671"/>
      <c r="C55" s="787"/>
      <c r="D55" s="788"/>
      <c r="E55" s="788"/>
      <c r="F55" s="789"/>
      <c r="G55" s="133" t="s">
        <v>394</v>
      </c>
      <c r="H55" s="290">
        <v>7</v>
      </c>
      <c r="I55" s="290">
        <v>56</v>
      </c>
    </row>
    <row r="56" spans="2:19" ht="49.2" customHeight="1" x14ac:dyDescent="0.25">
      <c r="B56" s="671"/>
      <c r="C56" s="790"/>
      <c r="D56" s="791"/>
      <c r="E56" s="791"/>
      <c r="F56" s="792"/>
      <c r="G56" s="133" t="s">
        <v>395</v>
      </c>
      <c r="H56" s="290">
        <v>8</v>
      </c>
      <c r="I56" s="290">
        <v>84</v>
      </c>
    </row>
    <row r="57" spans="2:19" ht="77.25" customHeight="1" x14ac:dyDescent="0.25">
      <c r="B57" s="671"/>
      <c r="C57" s="820" t="s">
        <v>481</v>
      </c>
      <c r="D57" s="821"/>
      <c r="E57" s="821"/>
      <c r="F57" s="822"/>
      <c r="G57" s="133" t="s">
        <v>396</v>
      </c>
      <c r="H57" s="290">
        <v>2</v>
      </c>
      <c r="I57" s="290">
        <v>31</v>
      </c>
    </row>
    <row r="58" spans="2:19" ht="37.5" customHeight="1" x14ac:dyDescent="0.25">
      <c r="B58" s="671"/>
      <c r="C58" s="823"/>
      <c r="D58" s="824"/>
      <c r="E58" s="824"/>
      <c r="F58" s="825"/>
      <c r="G58" s="133" t="s">
        <v>397</v>
      </c>
      <c r="H58" s="290">
        <v>0</v>
      </c>
      <c r="I58" s="290">
        <v>21</v>
      </c>
    </row>
    <row r="59" spans="2:19" ht="33.6" customHeight="1" x14ac:dyDescent="0.25">
      <c r="B59" s="671"/>
      <c r="C59" s="831" t="s">
        <v>453</v>
      </c>
      <c r="D59" s="831"/>
      <c r="E59" s="831"/>
      <c r="F59" s="832"/>
      <c r="G59" s="133" t="s">
        <v>398</v>
      </c>
      <c r="H59" s="295" t="s">
        <v>483</v>
      </c>
      <c r="I59" s="295" t="s">
        <v>484</v>
      </c>
    </row>
    <row r="60" spans="2:19" s="104" customFormat="1" ht="33.6" customHeight="1" x14ac:dyDescent="0.3">
      <c r="B60" s="671"/>
      <c r="C60" s="829"/>
      <c r="D60" s="829"/>
      <c r="E60" s="829"/>
      <c r="F60" s="830"/>
      <c r="G60" s="133" t="s">
        <v>399</v>
      </c>
      <c r="H60" s="295">
        <v>6</v>
      </c>
      <c r="I60" s="296" t="s">
        <v>485</v>
      </c>
      <c r="J60" s="159"/>
      <c r="K60" s="159"/>
      <c r="L60" s="159"/>
      <c r="M60" s="159"/>
      <c r="N60" s="159"/>
      <c r="O60" s="159"/>
      <c r="P60" s="159"/>
      <c r="Q60" s="159"/>
      <c r="R60" s="159"/>
      <c r="S60" s="159"/>
    </row>
    <row r="61" spans="2:19" ht="33.6" customHeight="1" x14ac:dyDescent="0.25">
      <c r="B61" s="671"/>
      <c r="C61" s="829"/>
      <c r="D61" s="829"/>
      <c r="E61" s="829"/>
      <c r="F61" s="830"/>
      <c r="G61" s="133" t="s">
        <v>400</v>
      </c>
      <c r="H61" s="893">
        <v>673</v>
      </c>
      <c r="I61" s="294"/>
    </row>
    <row r="62" spans="2:19" ht="49.5" customHeight="1" x14ac:dyDescent="0.25">
      <c r="B62" s="671"/>
      <c r="C62" s="828" t="s">
        <v>454</v>
      </c>
      <c r="D62" s="829"/>
      <c r="E62" s="829"/>
      <c r="F62" s="830"/>
      <c r="G62" s="133" t="s">
        <v>401</v>
      </c>
      <c r="H62" s="295">
        <v>661</v>
      </c>
      <c r="I62" s="295">
        <v>5005</v>
      </c>
    </row>
    <row r="63" spans="2:19" ht="145.19999999999999" customHeight="1" x14ac:dyDescent="0.25">
      <c r="B63" s="671"/>
      <c r="C63" s="793" t="s">
        <v>482</v>
      </c>
      <c r="D63" s="794"/>
      <c r="E63" s="794"/>
      <c r="F63" s="795"/>
      <c r="G63" s="133" t="s">
        <v>402</v>
      </c>
      <c r="H63" s="163">
        <v>9</v>
      </c>
      <c r="I63" s="164">
        <f>27+H63</f>
        <v>36</v>
      </c>
      <c r="K63" s="793"/>
      <c r="L63" s="794"/>
      <c r="M63" s="794"/>
      <c r="N63" s="794"/>
    </row>
    <row r="64" spans="2:19" ht="39" customHeight="1" x14ac:dyDescent="0.25">
      <c r="B64" s="671"/>
      <c r="C64" s="796"/>
      <c r="D64" s="797"/>
      <c r="E64" s="797"/>
      <c r="F64" s="798"/>
      <c r="G64" s="133" t="s">
        <v>403</v>
      </c>
      <c r="H64" s="163">
        <v>5</v>
      </c>
      <c r="I64" s="164">
        <f>147+H64</f>
        <v>152</v>
      </c>
      <c r="K64" s="826"/>
      <c r="L64" s="827"/>
      <c r="M64" s="827"/>
      <c r="N64" s="827"/>
    </row>
    <row r="65" spans="2:14" ht="52.8" customHeight="1" x14ac:dyDescent="0.25">
      <c r="B65" s="672"/>
      <c r="C65" s="799"/>
      <c r="D65" s="800"/>
      <c r="E65" s="800"/>
      <c r="F65" s="801"/>
      <c r="G65" s="133" t="s">
        <v>404</v>
      </c>
      <c r="H65" s="163">
        <v>3624</v>
      </c>
      <c r="I65" s="292">
        <v>4611</v>
      </c>
      <c r="K65" s="826"/>
      <c r="L65" s="827"/>
      <c r="M65" s="827"/>
      <c r="N65" s="827"/>
    </row>
    <row r="66" spans="2:14" ht="60.75" customHeight="1" x14ac:dyDescent="0.25">
      <c r="B66" s="175" t="s">
        <v>282</v>
      </c>
      <c r="C66" s="804" t="s">
        <v>46</v>
      </c>
      <c r="D66" s="805"/>
      <c r="E66" s="805"/>
      <c r="F66" s="805"/>
      <c r="G66" s="805"/>
      <c r="H66" s="805"/>
      <c r="I66" s="806"/>
    </row>
    <row r="67" spans="2:14" ht="79.5" customHeight="1" x14ac:dyDescent="0.25">
      <c r="B67" s="120" t="s">
        <v>283</v>
      </c>
      <c r="C67" s="804" t="s">
        <v>405</v>
      </c>
      <c r="D67" s="805"/>
      <c r="E67" s="805"/>
      <c r="F67" s="805"/>
      <c r="G67" s="805"/>
      <c r="H67" s="805"/>
      <c r="I67" s="806"/>
    </row>
    <row r="68" spans="2:14" ht="22.5" customHeight="1" x14ac:dyDescent="0.25">
      <c r="B68" s="512" t="s">
        <v>284</v>
      </c>
      <c r="C68" s="513"/>
      <c r="D68" s="513"/>
      <c r="E68" s="513"/>
      <c r="F68" s="513"/>
      <c r="G68" s="513"/>
      <c r="H68" s="513"/>
      <c r="I68" s="514"/>
    </row>
    <row r="69" spans="2:14" ht="22.5" customHeight="1" x14ac:dyDescent="0.25">
      <c r="B69" s="508" t="s">
        <v>285</v>
      </c>
      <c r="C69" s="141" t="s">
        <v>286</v>
      </c>
      <c r="D69" s="510" t="s">
        <v>287</v>
      </c>
      <c r="E69" s="510"/>
      <c r="F69" s="510"/>
      <c r="G69" s="510" t="s">
        <v>288</v>
      </c>
      <c r="H69" s="510"/>
      <c r="I69" s="511"/>
    </row>
    <row r="70" spans="2:14" ht="30.75" customHeight="1" x14ac:dyDescent="0.25">
      <c r="B70" s="509"/>
      <c r="C70" s="142"/>
      <c r="D70" s="588"/>
      <c r="E70" s="588"/>
      <c r="F70" s="588"/>
      <c r="G70" s="588"/>
      <c r="H70" s="588"/>
      <c r="I70" s="589"/>
    </row>
    <row r="71" spans="2:14" ht="32.25" customHeight="1" x14ac:dyDescent="0.25">
      <c r="B71" s="121" t="s">
        <v>289</v>
      </c>
      <c r="C71" s="782" t="s">
        <v>455</v>
      </c>
      <c r="D71" s="782"/>
      <c r="E71" s="782"/>
      <c r="F71" s="782"/>
      <c r="G71" s="782"/>
      <c r="H71" s="782"/>
      <c r="I71" s="783"/>
    </row>
    <row r="72" spans="2:14" ht="28.5" customHeight="1" x14ac:dyDescent="0.25">
      <c r="B72" s="122" t="s">
        <v>291</v>
      </c>
      <c r="C72" s="782" t="s">
        <v>455</v>
      </c>
      <c r="D72" s="782"/>
      <c r="E72" s="782"/>
      <c r="F72" s="782"/>
      <c r="G72" s="782"/>
      <c r="H72" s="782"/>
      <c r="I72" s="783"/>
    </row>
    <row r="73" spans="2:14" ht="30" customHeight="1" x14ac:dyDescent="0.25">
      <c r="B73" s="120" t="s">
        <v>292</v>
      </c>
      <c r="C73" s="588" t="s">
        <v>293</v>
      </c>
      <c r="D73" s="588"/>
      <c r="E73" s="588"/>
      <c r="F73" s="588"/>
      <c r="G73" s="588"/>
      <c r="H73" s="588"/>
      <c r="I73" s="589"/>
    </row>
    <row r="74" spans="2:14" ht="31.5" customHeight="1" thickBot="1" x14ac:dyDescent="0.3">
      <c r="B74" s="116" t="s">
        <v>294</v>
      </c>
      <c r="C74" s="779" t="s">
        <v>295</v>
      </c>
      <c r="D74" s="780"/>
      <c r="E74" s="780"/>
      <c r="F74" s="780"/>
      <c r="G74" s="780"/>
      <c r="H74" s="780"/>
      <c r="I74" s="781"/>
    </row>
    <row r="75" spans="2:14" ht="13.2" customHeight="1" x14ac:dyDescent="0.25">
      <c r="B75" s="109"/>
      <c r="C75" s="110"/>
      <c r="D75" s="110"/>
      <c r="E75" s="111"/>
      <c r="F75" s="111"/>
      <c r="G75" s="117"/>
      <c r="H75" s="113"/>
      <c r="I75" s="110"/>
    </row>
    <row r="76" spans="2:14" ht="13.2" customHeight="1" x14ac:dyDescent="0.25">
      <c r="B76" s="776"/>
      <c r="C76" s="776"/>
      <c r="D76" s="776"/>
      <c r="E76" s="776"/>
      <c r="F76" s="776"/>
      <c r="G76" s="776"/>
      <c r="H76" s="776"/>
      <c r="I76" s="776"/>
    </row>
    <row r="77" spans="2:14" ht="13.2" customHeight="1" x14ac:dyDescent="0.25">
      <c r="B77" s="776"/>
      <c r="C77" s="776"/>
      <c r="D77" s="776"/>
      <c r="E77" s="776"/>
      <c r="F77" s="776"/>
      <c r="G77" s="776"/>
      <c r="H77" s="776"/>
      <c r="I77" s="776"/>
    </row>
    <row r="78" spans="2:14" ht="13.2" customHeight="1" x14ac:dyDescent="0.25">
      <c r="B78" s="776"/>
      <c r="C78" s="776"/>
      <c r="D78" s="776"/>
      <c r="E78" s="776"/>
      <c r="F78" s="776"/>
      <c r="G78" s="776"/>
      <c r="H78" s="776"/>
      <c r="I78" s="776"/>
    </row>
    <row r="79" spans="2:14" ht="13.2" customHeight="1" x14ac:dyDescent="0.25">
      <c r="B79" s="109"/>
      <c r="C79" s="110"/>
      <c r="D79" s="110"/>
      <c r="E79" s="111"/>
      <c r="F79" s="111"/>
      <c r="G79" s="117"/>
      <c r="H79" s="113"/>
      <c r="I79" s="110"/>
    </row>
    <row r="80" spans="2:14" ht="25.5" customHeight="1" x14ac:dyDescent="0.25">
      <c r="B80" s="109"/>
      <c r="C80" s="110"/>
      <c r="D80" s="110"/>
      <c r="E80" s="111"/>
      <c r="F80" s="111"/>
      <c r="G80" s="117"/>
      <c r="H80" s="113"/>
      <c r="I80" s="110"/>
    </row>
    <row r="81" ht="13.2" customHeight="1" x14ac:dyDescent="0.25"/>
    <row r="82" ht="13.2" customHeight="1" x14ac:dyDescent="0.25"/>
    <row r="83" ht="13.2" customHeight="1" x14ac:dyDescent="0.25"/>
    <row r="84" ht="13.2" customHeight="1" x14ac:dyDescent="0.25"/>
    <row r="85" ht="13.2" customHeight="1" x14ac:dyDescent="0.25"/>
    <row r="86" ht="13.2" customHeight="1" x14ac:dyDescent="0.25"/>
    <row r="87" ht="13.2" customHeight="1" x14ac:dyDescent="0.25"/>
    <row r="88" ht="13.2" customHeight="1" x14ac:dyDescent="0.25"/>
    <row r="89" ht="13.2" customHeight="1" x14ac:dyDescent="0.25"/>
    <row r="90" ht="13.2" customHeight="1" x14ac:dyDescent="0.25"/>
    <row r="91" ht="13.2" customHeight="1" x14ac:dyDescent="0.25"/>
    <row r="109" spans="6:9" ht="12.75" customHeight="1" x14ac:dyDescent="0.25">
      <c r="F109" s="777"/>
      <c r="G109" s="778"/>
      <c r="H109" s="778"/>
      <c r="I109" s="778"/>
    </row>
    <row r="110" spans="6:9" ht="12.75" customHeight="1" x14ac:dyDescent="0.25">
      <c r="F110" s="772"/>
      <c r="G110" s="773"/>
      <c r="H110" s="773"/>
      <c r="I110" s="773"/>
    </row>
    <row r="111" spans="6:9" ht="12.75" customHeight="1" x14ac:dyDescent="0.25">
      <c r="F111" s="772"/>
      <c r="G111" s="773"/>
      <c r="H111" s="773"/>
      <c r="I111" s="773"/>
    </row>
    <row r="112" spans="6:9" ht="12.75" customHeight="1" x14ac:dyDescent="0.25">
      <c r="F112" s="772"/>
      <c r="G112" s="773"/>
      <c r="H112" s="773"/>
      <c r="I112" s="773"/>
    </row>
    <row r="113" spans="6:9" ht="12.75" customHeight="1" x14ac:dyDescent="0.25">
      <c r="F113" s="774"/>
      <c r="G113" s="775"/>
      <c r="H113" s="775"/>
      <c r="I113" s="775"/>
    </row>
  </sheetData>
  <mergeCells count="76">
    <mergeCell ref="K63:N63"/>
    <mergeCell ref="K64:N64"/>
    <mergeCell ref="K65:N65"/>
    <mergeCell ref="C62:F62"/>
    <mergeCell ref="C59:F61"/>
    <mergeCell ref="C53:F56"/>
    <mergeCell ref="C63:F65"/>
    <mergeCell ref="C45:G45"/>
    <mergeCell ref="B68:I68"/>
    <mergeCell ref="C73:I73"/>
    <mergeCell ref="C67:I67"/>
    <mergeCell ref="C66:I66"/>
    <mergeCell ref="B45:B65"/>
    <mergeCell ref="C46:F48"/>
    <mergeCell ref="C49:F52"/>
    <mergeCell ref="C57:F58"/>
    <mergeCell ref="C74:I74"/>
    <mergeCell ref="B69:B70"/>
    <mergeCell ref="D69:F69"/>
    <mergeCell ref="G69:I69"/>
    <mergeCell ref="D70:F70"/>
    <mergeCell ref="G70:I70"/>
    <mergeCell ref="C71:I71"/>
    <mergeCell ref="C72:I72"/>
    <mergeCell ref="F110:I110"/>
    <mergeCell ref="F111:I111"/>
    <mergeCell ref="F112:I112"/>
    <mergeCell ref="F113:I113"/>
    <mergeCell ref="B76:I78"/>
    <mergeCell ref="F109:I10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C39:I39"/>
    <mergeCell ref="B40:I44"/>
    <mergeCell ref="C24:E24"/>
    <mergeCell ref="G24:I24"/>
    <mergeCell ref="B25:I25"/>
    <mergeCell ref="F27:F38"/>
    <mergeCell ref="G27:G38"/>
    <mergeCell ref="I27:I38"/>
  </mergeCells>
  <dataValidations disablePrompts="1" count="2">
    <dataValidation type="list" allowBlank="1" showInputMessage="1" showErrorMessage="1" sqref="H12:I12" xr:uid="{8D193C82-F006-4CC4-8B72-BCC1C0CE602D}">
      <formula1>#REF!</formula1>
    </dataValidation>
    <dataValidation type="list" allowBlank="1" showInputMessage="1" showErrorMessage="1" sqref="C24:E24 C7 I7 H13:I13 C9:F9" xr:uid="{26A62406-2974-4E6B-B155-AFC13B024F6A}">
      <formula1>#REF!</formula1>
    </dataValidation>
  </dataValidations>
  <pageMargins left="0.7" right="0.7" top="0.75" bottom="0.75" header="0.3" footer="0.3"/>
  <pageSetup scale="25"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664237-BA00-4E19-9D4C-97CF951D95E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0EA1A3-3C27-480B-B2AD-449A025D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David Arturo Jaimes Martinez</cp:lastModifiedBy>
  <cp:revision/>
  <dcterms:created xsi:type="dcterms:W3CDTF">2010-03-25T16:40:43Z</dcterms:created>
  <dcterms:modified xsi:type="dcterms:W3CDTF">2022-10-12T23:00:17Z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