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IDPYBA\SEPTIEMBRE\PRESUPUESTAL\Reporte 7560\"/>
    </mc:Choice>
  </mc:AlternateContent>
  <bookViews>
    <workbookView xWindow="0" yWindow="0" windowWidth="40965" windowHeight="23040" tabRatio="986"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71" l="1"/>
  <c r="H35" i="73" l="1"/>
  <c r="H35" i="69"/>
  <c r="H34" i="71" l="1"/>
  <c r="H34" i="73" l="1"/>
  <c r="H34" i="69"/>
  <c r="H33" i="73" l="1"/>
  <c r="H33" i="69"/>
  <c r="H33" i="71" l="1"/>
  <c r="H32" i="69" l="1"/>
  <c r="H32" i="73"/>
  <c r="H32" i="71"/>
  <c r="H31" i="73" l="1"/>
  <c r="E31" i="73"/>
  <c r="E30" i="73"/>
  <c r="E31" i="69"/>
  <c r="E38" i="68"/>
  <c r="E37" i="68"/>
  <c r="E36" i="68"/>
  <c r="E35" i="68"/>
  <c r="E34" i="68"/>
  <c r="E33" i="68"/>
  <c r="E32" i="68"/>
  <c r="E31" i="68"/>
  <c r="L28" i="67"/>
  <c r="H31" i="71"/>
  <c r="H31" i="69"/>
  <c r="E27" i="71" l="1"/>
  <c r="E29" i="71"/>
  <c r="D28" i="73"/>
  <c r="D27" i="73"/>
  <c r="H38" i="73"/>
  <c r="E38" i="73"/>
  <c r="H37" i="73"/>
  <c r="E37" i="73"/>
  <c r="H36" i="73"/>
  <c r="E36" i="73"/>
  <c r="E35" i="73"/>
  <c r="E34" i="73"/>
  <c r="E33"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H36"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8" i="69"/>
  <c r="H28" i="68"/>
  <c r="H29" i="68" s="1"/>
  <c r="H30" i="68" s="1"/>
  <c r="H36" i="71"/>
  <c r="H37" i="71"/>
  <c r="H38"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<sst xmlns="http://schemas.openxmlformats.org/spreadsheetml/2006/main" count="1052" uniqueCount="393">
  <si>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</si>
  <si>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</si>
  <si>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</si>
  <si>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</si>
  <si>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</si>
  <si>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</si>
  <si>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</si>
  <si>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</si>
  <si>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</si>
  <si>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</si>
  <si>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</si>
  <si>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</si>
  <si>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</si>
  <si>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</si>
  <si>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</si>
  <si>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</si>
  <si>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</si>
  <si>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</si>
  <si>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</si>
  <si>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</si>
  <si>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</si>
  <si>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</si>
  <si>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</si>
  <si>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</si>
  <si>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</si>
  <si>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</si>
  <si>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</si>
  <si>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</si>
  <si>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</si>
  <si>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</si>
  <si>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</si>
  <si>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</si>
  <si>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</si>
  <si>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</si>
  <si>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</si>
  <si>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</si>
  <si>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</si>
  <si>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</si>
  <si>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</si>
  <si>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</si>
  <si>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</si>
  <si>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</si>
  <si>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</si>
  <si>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</si>
  <si>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</si>
  <si>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</si>
  <si>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</si>
  <si>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</si>
  <si>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</si>
  <si>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</si>
  <si>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</si>
  <si>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</si>
  <si>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</si>
  <si>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</si>
  <si>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</si>
  <si>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</si>
  <si>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</si>
  <si>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</si>
  <si>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</si>
  <si>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</si>
  <si>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</si>
  <si>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</si>
  <si>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</si>
  <si>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</si>
  <si>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</si>
  <si>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</si>
  <si>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</si>
  <si>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</si>
  <si>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</si>
  <si>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</si>
  <si>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</si>
  <si>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</si>
  <si>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</si>
  <si>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</si>
  <si>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</si>
  <si>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</si>
  <si>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</si>
  <si>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</si>
  <si>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</si>
  <si>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</si>
  <si>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</si>
  <si>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</si>
  <si>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</si>
  <si>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</si>
  <si>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</si>
  <si>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</si>
  <si>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</si>
  <si>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</si>
  <si>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</si>
  <si>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</si>
  <si>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</si>
  <si>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</si>
  <si>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</si>
  <si>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</si>
  <si>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</si>
  <si>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</si>
  <si>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</si>
  <si>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</si>
  <si>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</si>
  <si>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</si>
  <si>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</si>
  <si>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</si>
  <si>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</si>
  <si>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</si>
  <si>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</si>
  <si>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</si>
  <si>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</si>
  <si>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</si>
  <si>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</si>
  <si>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</si>
  <si>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</si>
  <si>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</si>
  <si>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</si>
  <si>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</si>
  <si>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</si>
  <si>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</si>
  <si>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</si>
  <si>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</si>
  <si>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</si>
  <si>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</si>
  <si>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</si>
  <si>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</si>
  <si>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</si>
  <si>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</si>
  <si>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</si>
  <si>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</si>
  <si>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</si>
  <si>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</si>
  <si>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</si>
  <si>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</si>
  <si>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</si>
  <si>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</si>
  <si>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</si>
  <si>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</si>
  <si>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</si>
  <si>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</si>
  <si>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</si>
  <si>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</si>
  <si>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</si>
  <si>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</si>
  <si>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</si>
  <si>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</si>
  <si>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</si>
  <si>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</si>
  <si>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</si>
  <si>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</si>
  <si>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</si>
  <si>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</si>
  <si>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</si>
  <si>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</si>
  <si>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</si>
  <si>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</si>
  <si>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</si>
  <si>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</si>
  <si>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</si>
  <si>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</si>
  <si>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</si>
  <si>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</si>
  <si>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</si>
  <si>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</si>
  <si>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</si>
  <si>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</si>
  <si>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</si>
  <si>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</si>
  <si>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</si>
  <si>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</si>
  <si>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</si>
  <si>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</si>
  <si>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</si>
  <si>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</si>
  <si>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</si>
  <si>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</si>
  <si>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</si>
  <si>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</si>
  <si>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</si>
  <si>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</si>
  <si>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</si>
  <si>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</si>
  <si>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</si>
  <si>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</si>
  <si>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</si>
  <si>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</si>
  <si>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</si>
  <si>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</si>
  <si>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</si>
  <si>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</si>
  <si>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</si>
  <si>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</si>
  <si>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</si>
  <si>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</si>
  <si>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</si>
  <si>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</si>
  <si>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</si>
  <si>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</si>
  <si>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</si>
  <si>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</si>
  <si>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</si>
  <si>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</si>
  <si>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</si>
  <si>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</si>
  <si>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</si>
  <si>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</si>
  <si>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</si>
  <si>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</si>
  <si>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</si>
  <si>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</si>
  <si>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</si>
  <si>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</si>
  <si>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</si>
  <si>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</si>
  <si>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</si>
  <si>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</si>
  <si>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</si>
  <si>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</si>
  <si>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</si>
  <si>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</si>
  <si>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</si>
  <si>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</si>
  <si>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</si>
  <si>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</si>
  <si>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</si>
  <si>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</si>
  <si>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</si>
  <si>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</si>
  <si>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</si>
  <si>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</si>
  <si>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</si>
  <si>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</si>
  <si>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</si>
  <si>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</si>
  <si>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</si>
  <si>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</si>
  <si>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</si>
  <si>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</si>
  <si>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</si>
  <si>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</si>
  <si>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</si>
  <si>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</si>
  <si>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</si>
  <si>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</si>
  <si>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</si>
  <si>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</si>
  <si>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</si>
  <si>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</si>
  <si>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</si>
  <si>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</si>
  <si>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</si>
  <si>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</si>
  <si>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</si>
  <si>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</si>
  <si>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</si>
  <si>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</si>
  <si>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</si>
  <si>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</si>
  <si>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</si>
  <si>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</si>
  <si>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</si>
  <si>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</si>
  <si>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</si>
  <si>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</si>
  <si>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</si>
  <si>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</si>
  <si>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</si>
  <si>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</si>
  <si>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</si>
  <si>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</si>
  <si>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</si>
  <si>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</si>
  <si>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</si>
  <si>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</si>
  <si>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</si>
  <si>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</si>
  <si>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</si>
  <si>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</si>
  <si>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</si>
  <si>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</si>
  <si>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</si>
  <si>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</si>
  <si>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</si>
  <si>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</si>
  <si>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</si>
  <si>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</si>
  <si>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</si>
  <si>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</si>
  <si>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</si>
  <si>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</si>
  <si>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</si>
  <si>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</si>
  <si>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</si>
  <si>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</si>
  <si>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</si>
  <si>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</si>
  <si>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</si>
  <si>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</si>
  <si>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</si>
  <si>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</si>
  <si>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</si>
  <si>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</si>
  <si>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</si>
  <si>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</si>
  <si>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</si>
  <si>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</si>
  <si>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</si>
  <si>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</si>
  <si>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</si>
  <si>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</si>
  <si>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</si>
  <si>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</si>
  <si>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</si>
  <si>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</si>
  <si>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</si>
  <si>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</si>
  <si>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</si>
  <si>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</si>
  <si>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</si>
  <si>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</si>
  <si>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</si>
  <si>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</si>
  <si>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</si>
  <si>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</si>
  <si>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</si>
  <si>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</si>
  <si>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</si>
  <si>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</si>
  <si>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</si>
  <si>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</si>
  <si>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</si>
  <si>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</si>
  <si>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</si>
  <si>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</si>
  <si>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</si>
  <si>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</si>
  <si>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</si>
  <si>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</si>
  <si>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</si>
  <si>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</si>
  <si>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</si>
  <si>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</si>
  <si>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</si>
  <si>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</si>
  <si>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</si>
  <si>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</si>
  <si>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</si>
  <si>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</si>
  <si>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</si>
  <si>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</si>
  <si>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</si>
  <si>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</si>
  <si>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</si>
  <si>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</si>
  <si>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</si>
  <si>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</si>
  <si>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</si>
  <si>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</si>
  <si>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</si>
  <si>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</si>
  <si>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</si>
  <si>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</si>
  <si>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</si>
  <si>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</si>
  <si>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</si>
  <si>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</si>
  <si>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</si>
  <si>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</si>
  <si>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</si>
  <si>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</si>
  <si>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</si>
  <si>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</si>
  <si>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</si>
  <si>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</si>
  <si>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</si>
  <si>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</si>
  <si>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</si>
  <si>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</si>
  <si>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</si>
  <si>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</si>
  <si>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</si>
  <si>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</si>
  <si>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</si>
  <si>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</si>
  <si>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</si>
  <si>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Con corte al 30 de septiembre se han vinculado 194 prestadores de la magnitud programada, es decir un avance acumulado del 93,27% para la vigencia 2023.      
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en el mes de septiembre se vincularon 14 prestadores de servicios a la estrategia de regulación del IDPYBA.</t>
  </si>
  <si>
    <t xml:space="preserve">Para dar cumplimiento de la meta de vincular 208 prestadores de servicio para la vigencia 2023, se ha llevado a cabo 1 proceso de socialización de los lineamentos para la regulación en bienestar animal de las diferentes prestaciones de servicios que trabajan para y con los animales, a partir de los cuales se vincularon 14 prestadores de servicios a la estrategia de regulación del IDPYBA durante el mes de septiembre.
Se han alcanzado logros frente a las siguientes actividades:
1. Realizar 21 visitas de inspección y vigilancia a los prestadores de servicios durante el mes de septiembre.
2. Desarrollo de documentos de Inspección y vigilancia, principalmente la construcción del documento de procedimiento para la implementación de las funciones de Inspección y Vigilancia.
3. Se llevó a cabo 1 proceso de socialización de los protocolos, guías y documentos producto de la implementación de la estrategia de regulación.			</t>
  </si>
  <si>
    <t>En septiembre de 2023, se programaron intervenciones pedagógicas para la implementación de las acciones propias de las campañas en articulación con los aliados como el Planetario Bogotá y la Universidad del Bosque.</t>
  </si>
  <si>
    <t xml:space="preserve">Con corte al 30 de septiembre presenta una magnitudad ejecutada del 1,44  con relacion a las 2 campañas programadas para la vigencia 2023. lo anterior, hace referencia a un avance acumulado del 72% para la vigencia 2023.
Lo anterior de acuerdo con la priorización de los temas de las campañas, construcción de los documentos base de campaña de "Bogotá se conecta con el mar" y "Mi mayor acto de amor es protegerte de todo riesgo",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las campañas para perfilar aún más las necesidades de información y elementos educomunicativos, estructuración de acciones pedagógica centradas en los temas de las campañas en los diferentes ámbitos de aplicación de la estrategia de sensibilización, educación y formación y lanzamiento de las campañas. </t>
  </si>
  <si>
    <t>En el periodo reportado se vincularon 150 personas en 7 intervenciones así:
En ámbito comunitario se desarrollaron 5 acciones de apropiación de la cultura ciudadana, impactando a 95 ciudadanos y ciudadanas. Aquí se vinculan las acciones de:
**Huellitas de calle con 1 jornada y 4 ciudadanos sensibilizados
**Mirar y no tocar es amar con 1 jornada y 45 ciudadanos participantes en el recorrido de observación de fauna silvestre urbana como actividad de respiro en respuesta a las obligaciones adquiridas en el Sistema Distrital de Cuidado.
**Pisa el freno, hay vida en la vía con 1 intervención y 23 actores viales sensibilizados
**Otras acciones de apropiación de la cultura ciudadana en ámbito comunitario con 2 intervenciones y 23 ciudadanos vinculados.
En ámbito educativo 1 intervención con 36 estudiantes vinculados
En ámbito institucional 1 intervención vinculando a 19 colaboradores</t>
  </si>
  <si>
    <t>Con corte al 30 de septiembre de 2023, han sido vinculadas 1700 personas, lo que representa un avance del 94,82% frente a la programación de la vigencia 2023. 
A la fecha el Instituto ha vinculado 8.816 ciudadanos y ciudadanas en talleres de formación (acumulados PDD; 2020=404 + 2021=2800 + 2022=4,000 +2023=1.612),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y ofertados por el IDPYBA, a la fecha se han vinculado 817 personas (febrero 69 + marzo 41 + abril 106 + 121 mayo + 204 junio + 105 julio + 141 agosto + 30 septiembre ciudadanas y ciudadanos vinculados)
- Inducción del Programa de voluntariado social en protección y bienestar animal, donde se vincularon 135 ciudadanas y ciudadanos (65 marzo + 31 abril + 39 septiembre).
- Se realizaron sensibilizaciones virtuales y presenciales donde se abordó la normativa vigente y estrategias de convivencia interespecie en propiedad horizontal, a través del programa de copropiedad y convivencia, donde se han vinculado 549 ciudadanas y ciudadanos (enero 8 + marzo 53 + abril 34 + 36 mayo + 52 junio + 109 julio + 101 agosto + 156 septiembre ciudadanas y ciudadanos vinculados)   
- Se vincularon 100 mayo + 11 junio organizaciones y personas naturales al programa de la red de aliados.</t>
  </si>
  <si>
    <t>En septiembre se vincularon 225 ciudadanos y ciudadanas, a través de las siguientes acciones de participación: 
- Espacios de participación se vincularon 30 ciudadanas y ciudadanos
- Programa de copropiedad y convivencia se vincularon 156 ciudadanas y ciudadanos 
- se vincularon 39 ciudadanos y ciudadanas que participaron en la jornada de inducción del programa de voluntariado.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Los Mártires, Bosa, Usaquén, Chapinero, Tunjuelito, Teusaquillo, Kennedy, Puente Aranda, Ciudad Bolívar, Rafael Uribe Uribe, Suba y Usme.</t>
  </si>
  <si>
    <t xml:space="preserve">Con corte al 30 de septiembre de 2023, la meta presenta una magnitud ejecutada de 72 pactos; lo que representa un avance del 96% en la vigencia 2023 
A la fecha el Instituto ha definido y ejecutado 952 pactos con las instancias y espacios de participación ciudadana y movilización social por localidad para la Protección y Bienestar Animal (acumulados PDD; 2020=60 + 2021=390 + 2022=430 + 2023=72).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septiembre se ejecutaron 5 pactos, se lograron importantes gestiones para las localidades de Engativá, Santa Fe, Los Mártires, Usme y una jornada interlocal donde participaron las localidades de Antonio Nariño, La Candelaria, Santa Fe, Los Mártires y Chapinero llevando los servicios y programas de protección y bienestar animal a las comunidades con quienes se pactaron los compromisos. </t>
  </si>
  <si>
    <t xml:space="preserve">En septiembre se ejecutaron 5 pactos, se lograron importantes gestiones para las localidades de Engativá, Santa Fe, Los Mártires, Usme y una jornada interlocal donde participaron las localidades de Antonio Nariño, La Candelaria, Santa Fe, Los Mártires y Chapinero llevando los servicios y programas de protección y bienestar animal a las comunidades con quienes se pactaron los compromisos. </t>
  </si>
  <si>
    <t xml:space="preserve">En el trascurso del mes se celebró 1 alianza de acuerdo con lo programado. Esta alianza, fue realizada con la Organización Antiespecista EVOLUZOON para lo cual se han propuesto los siguientes compromisos:
IIDPYBA
*Acompañar espacios definidos entre las partes durante la cumbre de acuerdo con la agenda programada para agosto
*Apoyar en la divulgación e invitación de la comunidad a la programación de la cumbre
*Generar los espacios que permitan la participación de EVOLUZOON en acciones que permitan promocionar y fortalecer a colaboradores de la entidad y ciudadanía en general de la entidad los conocimientos del veganismo y las acciones a favor de los animales a través de reuniones institucionales y siendo parte de la agenda de la Semana Distrital de Protección y Bienestar Animal 2023
EVOLUZOON
*Acompañar los espacios que se concreten entre la entidad y la organización 
*Generar los espacios de participación del IDPYBA durante la Cumbre 
*Realizar la convocatoria para la asistencia de los ciudadanos a las jornadas articuladas conjuntamente.
</t>
  </si>
  <si>
    <t>Con corte al 30 de septiembre de 2023, han sido vinculadas 1865  personas, lo que representa un avance del 88,81% frente a la programación de la vigencia 2023. 
En este orden, se destaca la implementación de acciones de apropiación de la cultura ciudadana con las estrategias Mirar y no tocar es amar en el marco del Sistema Distrital de Cuidado, Huellitas de la calle en respuesta a las responsabilidades con la Política Pública de Habitabilidad en Calle, Pisa el freno hay vida en la vía que también aporta al cumplimiento de acciones de la Política Pública Distrital de Espacio Público y Servicio Social Estudiantil por los animales que con sus acciones aporta a la Política Pública Distrital de Juventud.
Es de resaltar que además se desarrollan acciones de apropiación de la cultura ciudadana en respuesta a los requerimientos ciudadanos, institucionales e instancias de participación ciudadana que apuntan al cumplimento de la meta para la vigencia 2023.</t>
  </si>
  <si>
    <t>En el trascurso de la vigencia se han adelantado 9 alianzas de las 10 programadas, equivalente al 90%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y la Organización antiespecista EVOLUZOON para lo cual se han realizado las siguientes actividades: 
La alianza con la organización  tiene por objetivo: definir acciones que permitan fortalecer el conocimiento de las acciones que realiza el Instituto en el marco de la CUMBRE SOBRE LA CUESTIÓN ANIMAL a través de la presentación de las estrategias de la Subdirección de Cultura Ciudadana y Gestión del Conocimiento, así como la articulación para generar un calendario de actividades en el marco de la Semana Distrital de Protección y Bienestar Animal.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</si>
</sst>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853530624"/>
        <c:axId val="-1853539872"/>
      </c:lineChart>
      <c:catAx>
        <c:axId val="-18535306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53539872"/>
        <c:crosses val="autoZero"/>
        <c:auto val="1"/>
        <c:lblAlgn val="ctr"/>
        <c:lblOffset val="100"/>
        <c:noMultiLvlLbl val="0"/>
      </c:catAx>
      <c:valAx>
        <c:axId val="-18535398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5353062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pt idx="7">
                  <c:v>41</c:v>
                </c:pt>
                <c:pt idx="8">
                  <c:v>14</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xmlns:c16r2="http://schemas.microsoft.com/office/drawing/2015/06/char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853533888"/>
        <c:axId val="-1853534432"/>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0.86538461538461531</c:v>
                </c:pt>
                <c:pt idx="8">
                  <c:v>0.9326923076923076</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1853534976"/>
        <c:axId val="-1853538784"/>
      </c:lineChart>
      <c:catAx>
        <c:axId val="-185353388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853534432"/>
        <c:crossesAt val="0"/>
        <c:auto val="1"/>
        <c:lblAlgn val="ctr"/>
        <c:lblOffset val="100"/>
        <c:tickLblSkip val="1"/>
        <c:tickMarkSkip val="1"/>
        <c:noMultiLvlLbl val="0"/>
      </c:catAx>
      <c:valAx>
        <c:axId val="-1853534432"/>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853533888"/>
        <c:crosses val="autoZero"/>
        <c:crossBetween val="between"/>
        <c:majorUnit val="50"/>
      </c:valAx>
      <c:valAx>
        <c:axId val="-1853538784"/>
        <c:scaling>
          <c:orientation val="minMax"/>
          <c:max val="1"/>
        </c:scaling>
        <c:delete val="0"/>
        <c:axPos val="r"/>
        <c:numFmt formatCode="0%" sourceLinked="0"/>
        <c:majorTickMark val="out"/>
        <c:minorTickMark val="none"/>
        <c:tickLblPos val="nextTo"/>
        <c:crossAx val="-1853534976"/>
        <c:crosses val="max"/>
        <c:crossBetween val="between"/>
        <c:majorUnit val="0.1"/>
      </c:valAx>
      <c:catAx>
        <c:axId val="-1853534976"/>
        <c:scaling>
          <c:orientation val="minMax"/>
        </c:scaling>
        <c:delete val="1"/>
        <c:axPos val="b"/>
        <c:numFmt formatCode="General" sourceLinked="1"/>
        <c:majorTickMark val="out"/>
        <c:minorTickMark val="none"/>
        <c:tickLblPos val="nextTo"/>
        <c:crossAx val="-1853538784"/>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pt idx="7">
                  <c:v>0.22</c:v>
                </c:pt>
                <c:pt idx="8">
                  <c:v>0.22</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853538240"/>
        <c:axId val="-1853537152"/>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0.61</c:v>
                </c:pt>
                <c:pt idx="8">
                  <c:v>0.72</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1853533344"/>
        <c:axId val="-1853536608"/>
      </c:lineChart>
      <c:catAx>
        <c:axId val="-185353824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853537152"/>
        <c:crossesAt val="0"/>
        <c:auto val="1"/>
        <c:lblAlgn val="ctr"/>
        <c:lblOffset val="100"/>
        <c:tickLblSkip val="1"/>
        <c:tickMarkSkip val="1"/>
        <c:noMultiLvlLbl val="0"/>
      </c:catAx>
      <c:valAx>
        <c:axId val="-1853537152"/>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853538240"/>
        <c:crosses val="autoZero"/>
        <c:crossBetween val="between"/>
        <c:majorUnit val="1"/>
      </c:valAx>
      <c:valAx>
        <c:axId val="-1853536608"/>
        <c:scaling>
          <c:orientation val="minMax"/>
          <c:max val="1"/>
        </c:scaling>
        <c:delete val="0"/>
        <c:axPos val="r"/>
        <c:numFmt formatCode="0%" sourceLinked="0"/>
        <c:majorTickMark val="out"/>
        <c:minorTickMark val="none"/>
        <c:tickLblPos val="nextTo"/>
        <c:crossAx val="-1853533344"/>
        <c:crosses val="max"/>
        <c:crossBetween val="between"/>
        <c:majorUnit val="0.1"/>
      </c:valAx>
      <c:catAx>
        <c:axId val="-1853533344"/>
        <c:scaling>
          <c:orientation val="minMax"/>
        </c:scaling>
        <c:delete val="1"/>
        <c:axPos val="b"/>
        <c:numFmt formatCode="General" sourceLinked="1"/>
        <c:majorTickMark val="out"/>
        <c:minorTickMark val="none"/>
        <c:tickLblPos val="nextTo"/>
        <c:crossAx val="-1853536608"/>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pt idx="7">
                  <c:v>250</c:v>
                </c:pt>
                <c:pt idx="8">
                  <c:v>150</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xmlns:c16r2="http://schemas.microsoft.com/office/drawing/2015/06/char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853529536"/>
        <c:axId val="-1853531712"/>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0.81666666666666665</c:v>
                </c:pt>
                <c:pt idx="8">
                  <c:v>0.88809523809523805</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1853530080"/>
        <c:axId val="-1853531168"/>
      </c:lineChart>
      <c:catAx>
        <c:axId val="-185352953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853531712"/>
        <c:crossesAt val="0"/>
        <c:auto val="1"/>
        <c:lblAlgn val="ctr"/>
        <c:lblOffset val="100"/>
        <c:tickLblSkip val="1"/>
        <c:tickMarkSkip val="1"/>
        <c:noMultiLvlLbl val="0"/>
      </c:catAx>
      <c:valAx>
        <c:axId val="-1853531712"/>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853529536"/>
        <c:crosses val="autoZero"/>
        <c:crossBetween val="between"/>
        <c:majorUnit val="5000"/>
      </c:valAx>
      <c:valAx>
        <c:axId val="-1853531168"/>
        <c:scaling>
          <c:orientation val="minMax"/>
          <c:max val="1"/>
        </c:scaling>
        <c:delete val="0"/>
        <c:axPos val="r"/>
        <c:numFmt formatCode="0%" sourceLinked="0"/>
        <c:majorTickMark val="out"/>
        <c:minorTickMark val="none"/>
        <c:tickLblPos val="nextTo"/>
        <c:crossAx val="-1853530080"/>
        <c:crosses val="max"/>
        <c:crossBetween val="between"/>
        <c:majorUnit val="0.1"/>
      </c:valAx>
      <c:catAx>
        <c:axId val="-1853530080"/>
        <c:scaling>
          <c:orientation val="minMax"/>
        </c:scaling>
        <c:delete val="1"/>
        <c:axPos val="b"/>
        <c:numFmt formatCode="General" sourceLinked="1"/>
        <c:majorTickMark val="out"/>
        <c:minorTickMark val="none"/>
        <c:tickLblPos val="nextTo"/>
        <c:crossAx val="-1853531168"/>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pt idx="7">
                  <c:v>242</c:v>
                </c:pt>
                <c:pt idx="8">
                  <c:v>225</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xmlns:c16r2="http://schemas.microsoft.com/office/drawing/2015/06/char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853527360"/>
        <c:axId val="-18535268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0.8158823529411765</c:v>
                </c:pt>
                <c:pt idx="8">
                  <c:v>0.94823529411764707</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1691816832"/>
        <c:axId val="-1853694816"/>
      </c:lineChart>
      <c:catAx>
        <c:axId val="-185352736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853526816"/>
        <c:crossesAt val="0"/>
        <c:auto val="1"/>
        <c:lblAlgn val="ctr"/>
        <c:lblOffset val="100"/>
        <c:tickLblSkip val="1"/>
        <c:tickMarkSkip val="1"/>
        <c:noMultiLvlLbl val="0"/>
      </c:catAx>
      <c:valAx>
        <c:axId val="-18535268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853527360"/>
        <c:crosses val="autoZero"/>
        <c:crossBetween val="between"/>
      </c:valAx>
      <c:valAx>
        <c:axId val="-1853694816"/>
        <c:scaling>
          <c:orientation val="minMax"/>
          <c:max val="1"/>
        </c:scaling>
        <c:delete val="0"/>
        <c:axPos val="r"/>
        <c:numFmt formatCode="0%" sourceLinked="0"/>
        <c:majorTickMark val="out"/>
        <c:minorTickMark val="none"/>
        <c:tickLblPos val="nextTo"/>
        <c:crossAx val="-1691816832"/>
        <c:crosses val="max"/>
        <c:crossBetween val="between"/>
        <c:majorUnit val="0.1"/>
      </c:valAx>
      <c:catAx>
        <c:axId val="-1691816832"/>
        <c:scaling>
          <c:orientation val="minMax"/>
        </c:scaling>
        <c:delete val="1"/>
        <c:axPos val="b"/>
        <c:numFmt formatCode="General" sourceLinked="1"/>
        <c:majorTickMark val="out"/>
        <c:minorTickMark val="none"/>
        <c:tickLblPos val="nextTo"/>
        <c:crossAx val="-1853694816"/>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pt idx="7">
                  <c:v>9</c:v>
                </c:pt>
                <c:pt idx="8">
                  <c:v>5</c:v>
                </c:pt>
              </c:numCache>
            </c:numRef>
          </c:val>
          <c:extLst xmlns:c16r2="http://schemas.microsoft.com/office/drawing/2015/06/char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xmlns:c16r2="http://schemas.microsoft.com/office/drawing/2015/06/char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691811936"/>
        <c:axId val="-1691810304"/>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0.89329666666666663</c:v>
                </c:pt>
                <c:pt idx="8">
                  <c:v>0.95996333333333328</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1691813568"/>
        <c:axId val="-1691811392"/>
      </c:lineChart>
      <c:catAx>
        <c:axId val="-169181193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691810304"/>
        <c:crossesAt val="0"/>
        <c:auto val="1"/>
        <c:lblAlgn val="ctr"/>
        <c:lblOffset val="100"/>
        <c:tickLblSkip val="1"/>
        <c:tickMarkSkip val="1"/>
        <c:noMultiLvlLbl val="0"/>
      </c:catAx>
      <c:valAx>
        <c:axId val="-1691810304"/>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691811936"/>
        <c:crosses val="autoZero"/>
        <c:crossBetween val="between"/>
      </c:valAx>
      <c:valAx>
        <c:axId val="-1691811392"/>
        <c:scaling>
          <c:orientation val="minMax"/>
          <c:max val="1"/>
        </c:scaling>
        <c:delete val="0"/>
        <c:axPos val="r"/>
        <c:numFmt formatCode="0%" sourceLinked="0"/>
        <c:majorTickMark val="out"/>
        <c:minorTickMark val="none"/>
        <c:tickLblPos val="nextTo"/>
        <c:crossAx val="-1691813568"/>
        <c:crosses val="max"/>
        <c:crossBetween val="between"/>
        <c:majorUnit val="0.1"/>
      </c:valAx>
      <c:catAx>
        <c:axId val="-1691813568"/>
        <c:scaling>
          <c:orientation val="minMax"/>
        </c:scaling>
        <c:delete val="1"/>
        <c:axPos val="b"/>
        <c:numFmt formatCode="General" sourceLinked="1"/>
        <c:majorTickMark val="out"/>
        <c:minorTickMark val="none"/>
        <c:tickLblPos val="nextTo"/>
        <c:crossAx val="-1691811392"/>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pt idx="7">
                  <c:v>1</c:v>
                </c:pt>
                <c:pt idx="8">
                  <c:v>1</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xmlns:c16r2="http://schemas.microsoft.com/office/drawing/2015/06/char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691814112"/>
        <c:axId val="-1691813024"/>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0.8</c:v>
                </c:pt>
                <c:pt idx="8">
                  <c:v>0.9</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1691809760"/>
        <c:axId val="-1691817376"/>
      </c:lineChart>
      <c:catAx>
        <c:axId val="-169181411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691813024"/>
        <c:crossesAt val="0"/>
        <c:auto val="1"/>
        <c:lblAlgn val="ctr"/>
        <c:lblOffset val="100"/>
        <c:tickLblSkip val="1"/>
        <c:tickMarkSkip val="1"/>
        <c:noMultiLvlLbl val="0"/>
      </c:catAx>
      <c:valAx>
        <c:axId val="-1691813024"/>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691814112"/>
        <c:crosses val="autoZero"/>
        <c:crossBetween val="between"/>
      </c:valAx>
      <c:valAx>
        <c:axId val="-1691817376"/>
        <c:scaling>
          <c:orientation val="minMax"/>
          <c:max val="1"/>
        </c:scaling>
        <c:delete val="0"/>
        <c:axPos val="r"/>
        <c:numFmt formatCode="0%" sourceLinked="0"/>
        <c:majorTickMark val="out"/>
        <c:minorTickMark val="none"/>
        <c:tickLblPos val="nextTo"/>
        <c:crossAx val="-1691809760"/>
        <c:crosses val="max"/>
        <c:crossBetween val="between"/>
        <c:majorUnit val="0.1"/>
      </c:valAx>
      <c:catAx>
        <c:axId val="-1691809760"/>
        <c:scaling>
          <c:orientation val="minMax"/>
        </c:scaling>
        <c:delete val="1"/>
        <c:axPos val="b"/>
        <c:numFmt formatCode="General" sourceLinked="1"/>
        <c:majorTickMark val="out"/>
        <c:minorTickMark val="none"/>
        <c:tickLblPos val="nextTo"/>
        <c:crossAx val="-1691817376"/>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1691806496"/>
        <c:axId val="-1691807040"/>
      </c:lineChart>
      <c:catAx>
        <c:axId val="-16918064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91807040"/>
        <c:crosses val="autoZero"/>
        <c:auto val="1"/>
        <c:lblAlgn val="ctr"/>
        <c:lblOffset val="100"/>
        <c:noMultiLvlLbl val="0"/>
      </c:catAx>
      <c:valAx>
        <c:axId val="-169180704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9180649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121200</xdr:colOff>
      <xdr:row>39</xdr:row>
      <xdr:rowOff>138014</xdr:rowOff>
    </xdr:from>
    <xdr:to>
      <xdr:col>8</xdr:col>
      <xdr:colOff>1463826</xdr:colOff>
      <xdr:row>44</xdr:row>
      <xdr:rowOff>177</xdr:rowOff>
    </xdr:to>
    <xdr:graphicFrame macro="">
      <xdr:nvGraphicFramePr>
        <xdr:cNvPr id="6" name="Gráfico 3">
          <a:extLst>
            <a:ext uri="{FF2B5EF4-FFF2-40B4-BE49-F238E27FC236}">
              <a16:creationId xmlns="" xmlns:a16="http://schemas.microsoft.com/office/drawing/2014/main" id="{00000000-0008-0000-0300-000006000000}"/>
            </a:ext>
            <a:ext uri="{147F2762-F138-4A5C-976F-8EAC2B608ADB}">
              <a16:predDERef xmlns=""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158750</xdr:rowOff>
    </xdr:from>
    <xdr:to>
      <xdr:col>8</xdr:col>
      <xdr:colOff>1428750</xdr:colOff>
      <xdr:row>43</xdr:row>
      <xdr:rowOff>32472</xdr:rowOff>
    </xdr:to>
    <xdr:graphicFrame macro="">
      <xdr:nvGraphicFramePr>
        <xdr:cNvPr id="6" name="Gráfico 3">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171967</xdr:rowOff>
    </xdr:from>
    <xdr:to>
      <xdr:col>8</xdr:col>
      <xdr:colOff>1443113</xdr:colOff>
      <xdr:row>43</xdr:row>
      <xdr:rowOff>569288</xdr:rowOff>
    </xdr:to>
    <xdr:graphicFrame macro="">
      <xdr:nvGraphicFramePr>
        <xdr:cNvPr id="6" name="Gráfico 3">
          <a:extLst>
            <a:ext uri="{FF2B5EF4-FFF2-40B4-BE49-F238E27FC236}">
              <a16:creationId xmlns=""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146951</xdr:colOff>
      <xdr:row>39</xdr:row>
      <xdr:rowOff>204547</xdr:rowOff>
    </xdr:from>
    <xdr:to>
      <xdr:col>8</xdr:col>
      <xdr:colOff>1416846</xdr:colOff>
      <xdr:row>42</xdr:row>
      <xdr:rowOff>119062</xdr:rowOff>
    </xdr:to>
    <xdr:graphicFrame macro="">
      <xdr:nvGraphicFramePr>
        <xdr:cNvPr id="6" name="Gráfico 3">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4%20POAS%20OCTUBRE%202016%20BMPT/POA%20PROYECTO%201044%20OCTUBRE%20CORREGIDO%20(1%20dic).xlsx?CDE3D5A6" TargetMode="External"/><Relationship Id="rId1" Type="http://schemas.openxmlformats.org/officeDocument/2006/relationships/externalLinkPath" Target="file:///\\CDE3D5A6\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3.%20POAS%20SEPTIEMBRE%202016%20BMPT%20PUBLICAR/POA%20_PYTO_1032%20TRIMESTRE%20III%202016_BMPT.xls?45D985A9" TargetMode="External"/><Relationship Id="rId1" Type="http://schemas.openxmlformats.org/officeDocument/2006/relationships/externalLinkPath" Target="file:///\\45D985A9\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iernobogota-my.sharepoint.com/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obiernobogota-my.sharepoint.com/Users/ANDRES/OneDrive%20-%20INSTITUTO%20DE%20PROTECCION%20ANIMAL%20899999061052/ARCHIVOS_ANDRES/IDPYBA2022/1ENERO/Obligacion9/Reportediciembre/Ficha_T&#233;cnica_Indicadores_de_Gesti&#243;n_Diciembre_2021.xlsx?4F40153B" TargetMode="External"/><Relationship Id="rId1" Type="http://schemas.openxmlformats.org/officeDocument/2006/relationships/externalLinkPath" Target="file:///\\4F40153B\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28515625" style="82" customWidth="1"/>
    <col min="5" max="5" width="17.42578125" style="74" customWidth="1"/>
    <col min="6" max="6" width="23.28515625" style="74" customWidth="1"/>
    <col min="7" max="7" width="17.140625" style="74" customWidth="1"/>
    <col min="8" max="8" width="16.285156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28515625" style="74" customWidth="1"/>
    <col min="21" max="21" width="14.140625" style="74" customWidth="1"/>
    <col min="22" max="22" width="11.42578125" style="74" customWidth="1"/>
    <col min="23" max="23" width="12.28515625" style="74" customWidth="1"/>
    <col min="24" max="26" width="14.28515625" style="74" customWidth="1"/>
    <col min="27" max="27" width="16.28515625" style="114" customWidth="1"/>
    <col min="28" max="28" width="14.85546875" style="74" customWidth="1"/>
    <col min="29" max="29" width="14.28515625" style="74" customWidth="1"/>
    <col min="30" max="30" width="89.85546875" style="74" customWidth="1"/>
    <col min="31" max="31" width="79.28515625" style="74" customWidth="1"/>
    <col min="32" max="32" width="87.42578125" style="74" customWidth="1"/>
    <col min="33" max="16384" width="11.42578125" style="74"/>
  </cols>
  <sheetData>
    <row r="2" spans="1:67" s="116" customFormat="1" ht="45.75" customHeight="1" x14ac:dyDescent="0.25">
      <c r="A2" s="280"/>
      <c r="B2" s="280"/>
      <c r="C2" s="265" t="s">
        <v>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16" customFormat="1" ht="45.75" customHeight="1" x14ac:dyDescent="0.25">
      <c r="A3" s="280"/>
      <c r="B3" s="280"/>
      <c r="C3" s="265" t="s">
        <v>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16" customFormat="1" ht="45.75" customHeight="1" x14ac:dyDescent="0.25">
      <c r="A4" s="280"/>
      <c r="B4" s="280"/>
      <c r="C4" s="265" t="s">
        <v>2</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16" customFormat="1" ht="45.75" customHeight="1" x14ac:dyDescent="0.25">
      <c r="A5" s="280"/>
      <c r="B5" s="280"/>
      <c r="C5" s="283" t="s">
        <v>3</v>
      </c>
      <c r="D5" s="283"/>
      <c r="E5" s="283"/>
      <c r="F5" s="283"/>
      <c r="G5" s="283"/>
      <c r="H5" s="283"/>
      <c r="I5" s="283"/>
      <c r="J5" s="283"/>
      <c r="K5" s="283"/>
      <c r="L5" s="283"/>
      <c r="M5" s="283"/>
      <c r="N5" s="283"/>
      <c r="O5" s="283"/>
      <c r="P5" s="283"/>
      <c r="Q5" s="283"/>
      <c r="R5" s="270" t="s">
        <v>4</v>
      </c>
      <c r="S5" s="270"/>
      <c r="T5" s="270"/>
      <c r="U5" s="270"/>
      <c r="V5" s="270"/>
      <c r="W5" s="270"/>
      <c r="X5" s="270"/>
      <c r="Y5" s="270"/>
      <c r="Z5" s="270"/>
      <c r="AA5" s="270"/>
      <c r="AB5" s="270"/>
      <c r="AC5" s="270"/>
      <c r="AD5" s="270"/>
      <c r="AE5" s="270"/>
      <c r="AF5" s="274"/>
    </row>
    <row r="6" spans="1:67" s="117" customFormat="1" ht="30.75" customHeight="1" x14ac:dyDescent="0.25">
      <c r="D6" s="118"/>
      <c r="K6" s="116"/>
      <c r="AA6" s="119"/>
    </row>
    <row r="7" spans="1:67" s="117" customFormat="1" ht="42" customHeight="1" x14ac:dyDescent="0.25">
      <c r="B7" s="120" t="s">
        <v>5</v>
      </c>
      <c r="C7" s="279" t="e">
        <f>+#REF!</f>
        <v>#REF!</v>
      </c>
      <c r="D7" s="279"/>
      <c r="E7" s="279"/>
      <c r="F7" s="279"/>
      <c r="G7" s="279"/>
      <c r="K7" s="116"/>
      <c r="AA7" s="119"/>
    </row>
    <row r="8" spans="1:67" s="117" customFormat="1" ht="42" customHeight="1" x14ac:dyDescent="0.25">
      <c r="B8" s="120" t="s">
        <v>6</v>
      </c>
      <c r="C8" s="279" t="e">
        <f>+#REF!</f>
        <v>#REF!</v>
      </c>
      <c r="D8" s="279"/>
      <c r="E8" s="279"/>
      <c r="F8" s="279"/>
      <c r="G8" s="279"/>
      <c r="K8" s="116"/>
      <c r="AA8" s="119"/>
    </row>
    <row r="9" spans="1:67" s="117" customFormat="1" ht="42" customHeight="1" x14ac:dyDescent="0.25">
      <c r="B9" s="121" t="s">
        <v>7</v>
      </c>
      <c r="C9" s="279" t="e">
        <f>+#REF!</f>
        <v>#REF!</v>
      </c>
      <c r="D9" s="279"/>
      <c r="E9" s="279"/>
      <c r="F9" s="279"/>
      <c r="G9" s="27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54" t="str">
        <f>+'[1]Sección 1. Metas - Magnitud'!B13</f>
        <v>PLAN DE DESARROLLO - BOGOTÁ MEJOR PARA TODOS 2016-2020</v>
      </c>
      <c r="B11" s="255"/>
      <c r="C11" s="255"/>
      <c r="D11" s="255"/>
      <c r="E11" s="255"/>
      <c r="F11" s="255"/>
      <c r="G11" s="255"/>
      <c r="H11" s="256"/>
      <c r="I11" s="276" t="s">
        <v>8</v>
      </c>
      <c r="J11" s="277"/>
      <c r="K11" s="277"/>
      <c r="L11" s="277"/>
      <c r="M11" s="277"/>
      <c r="N11" s="278"/>
      <c r="O11" s="271" t="s">
        <v>9</v>
      </c>
      <c r="P11" s="271"/>
      <c r="Q11" s="271"/>
      <c r="R11" s="271"/>
      <c r="S11" s="271"/>
      <c r="T11" s="271"/>
      <c r="U11" s="271"/>
      <c r="V11" s="271"/>
      <c r="W11" s="271"/>
      <c r="X11" s="271"/>
      <c r="Y11" s="271"/>
      <c r="Z11" s="271"/>
      <c r="AA11" s="271"/>
      <c r="AB11" s="271"/>
      <c r="AC11" s="271"/>
      <c r="AD11" s="254" t="s">
        <v>10</v>
      </c>
      <c r="AE11" s="255"/>
      <c r="AF11" s="256"/>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20" t="s">
        <v>38</v>
      </c>
      <c r="B13" s="220" t="str">
        <f>+'[2]Sección 1. Metas - Magnitud'!I15</f>
        <v>Demarcar 2.600 kilómetro carril de vías</v>
      </c>
      <c r="C13" s="220">
        <v>224</v>
      </c>
      <c r="D13" s="220" t="s">
        <v>39</v>
      </c>
      <c r="E13" s="220">
        <v>171</v>
      </c>
      <c r="F13" s="224" t="s">
        <v>40</v>
      </c>
      <c r="G13" s="220" t="s">
        <v>41</v>
      </c>
      <c r="H13" s="220" t="s">
        <v>42</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43</v>
      </c>
      <c r="AE13" s="214"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25">
      <c r="A15" s="220" t="s">
        <v>38</v>
      </c>
      <c r="B15" s="220" t="str">
        <f>+'[2]Sección 1. Metas - Magnitud'!I18</f>
        <v>Instalar 35.000 señales verticales de pedestal</v>
      </c>
      <c r="C15" s="220">
        <v>223</v>
      </c>
      <c r="D15" s="220" t="s">
        <v>46</v>
      </c>
      <c r="E15" s="220">
        <v>170</v>
      </c>
      <c r="F15" s="224" t="s">
        <v>47</v>
      </c>
      <c r="G15" s="220" t="s">
        <v>41</v>
      </c>
      <c r="H15" s="220" t="s">
        <v>42</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48</v>
      </c>
      <c r="AE15" s="214" t="s">
        <v>44</v>
      </c>
      <c r="AF15" s="261" t="s">
        <v>49</v>
      </c>
    </row>
    <row r="16" spans="1:67" ht="140.25" customHeight="1" x14ac:dyDescent="0.2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25">
      <c r="A17" s="220" t="s">
        <v>38</v>
      </c>
      <c r="B17" s="221" t="str">
        <f>+'[2]Sección 1. Metas - Magnitud'!I45</f>
        <v>Realizar el 100% de las actividades para la segunda fase del Sistema Inteligente de Tranporte - SIT</v>
      </c>
      <c r="C17" s="220">
        <v>231</v>
      </c>
      <c r="D17" s="220" t="s">
        <v>50</v>
      </c>
      <c r="E17" s="220">
        <v>178</v>
      </c>
      <c r="F17" s="224" t="s">
        <v>51</v>
      </c>
      <c r="G17" s="220" t="s">
        <v>52</v>
      </c>
      <c r="H17" s="220" t="s">
        <v>42</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53</v>
      </c>
      <c r="AE17" s="214" t="s">
        <v>44</v>
      </c>
      <c r="AF17" s="240" t="s">
        <v>54</v>
      </c>
    </row>
    <row r="18" spans="1:32" ht="200.25" customHeight="1" x14ac:dyDescent="0.2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25">
      <c r="A19" s="220" t="s">
        <v>38</v>
      </c>
      <c r="B19" s="221" t="str">
        <f>+'[2]Sección 1. Metas - Magnitud'!I48</f>
        <v>Realizar el 100% de las actividades para la segunda fase de Semáforos Inteligentes.</v>
      </c>
      <c r="C19" s="220">
        <v>232</v>
      </c>
      <c r="D19" s="220" t="s">
        <v>55</v>
      </c>
      <c r="E19" s="220">
        <v>179</v>
      </c>
      <c r="F19" s="224" t="s">
        <v>56</v>
      </c>
      <c r="G19" s="220" t="s">
        <v>52</v>
      </c>
      <c r="H19" s="220" t="s">
        <v>42</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57</v>
      </c>
      <c r="AE19" s="214" t="s">
        <v>44</v>
      </c>
      <c r="AF19" s="240" t="s">
        <v>54</v>
      </c>
    </row>
    <row r="20" spans="1:32" ht="298.5" customHeight="1" x14ac:dyDescent="0.2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25">
      <c r="A21" s="220" t="s">
        <v>38</v>
      </c>
      <c r="B21" s="221" t="str">
        <f>+'[2]Sección 1. Metas - Magnitud'!I51</f>
        <v>Realizar el 100% de las actividades para la primera fase de Detección Electrónica DEI</v>
      </c>
      <c r="C21" s="220">
        <v>233</v>
      </c>
      <c r="D21" s="220" t="s">
        <v>58</v>
      </c>
      <c r="E21" s="220">
        <v>180</v>
      </c>
      <c r="F21" s="224" t="s">
        <v>59</v>
      </c>
      <c r="G21" s="220" t="s">
        <v>52</v>
      </c>
      <c r="H21" s="220" t="s">
        <v>42</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60</v>
      </c>
      <c r="AE21" s="214" t="s">
        <v>44</v>
      </c>
      <c r="AF21" s="240" t="s">
        <v>54</v>
      </c>
    </row>
    <row r="22" spans="1:32" ht="124.5" customHeight="1" x14ac:dyDescent="0.2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231</v>
      </c>
      <c r="D9" s="375" t="s">
        <v>73</v>
      </c>
      <c r="E9" s="375"/>
      <c r="F9" s="326" t="s">
        <v>74</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113"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358" t="s">
        <v>90</v>
      </c>
      <c r="I12" s="359"/>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95</v>
      </c>
      <c r="D14" s="361"/>
      <c r="E14" s="361"/>
      <c r="F14" s="361"/>
      <c r="G14" s="361"/>
      <c r="H14" s="361"/>
      <c r="I14" s="362"/>
      <c r="J14" s="17"/>
      <c r="K14" s="17"/>
      <c r="M14" s="21"/>
      <c r="N14" s="6" t="s">
        <v>96</v>
      </c>
    </row>
    <row r="15" spans="2:14" ht="30.75" customHeight="1" x14ac:dyDescent="0.2">
      <c r="B15" s="18" t="s">
        <v>97</v>
      </c>
      <c r="C15" s="347" t="s">
        <v>98</v>
      </c>
      <c r="D15" s="347"/>
      <c r="E15" s="347"/>
      <c r="F15" s="3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353" t="s">
        <v>107</v>
      </c>
      <c r="D17" s="353"/>
      <c r="E17" s="353"/>
      <c r="F17" s="353"/>
      <c r="G17" s="353"/>
      <c r="H17" s="353"/>
      <c r="I17" s="354"/>
      <c r="J17" s="22"/>
      <c r="K17" s="22"/>
      <c r="M17" s="21" t="s">
        <v>108</v>
      </c>
      <c r="N17" s="6" t="s">
        <v>109</v>
      </c>
    </row>
    <row r="18" spans="2:14" ht="30.75" customHeight="1" x14ac:dyDescent="0.2">
      <c r="B18" s="18" t="s">
        <v>110</v>
      </c>
      <c r="C18" s="347" t="s">
        <v>111</v>
      </c>
      <c r="D18" s="347"/>
      <c r="E18" s="347"/>
      <c r="F18" s="347"/>
      <c r="G18" s="347"/>
      <c r="H18" s="347"/>
      <c r="I18" s="348"/>
      <c r="J18" s="23"/>
      <c r="K18" s="23"/>
      <c r="M18" s="21" t="s">
        <v>112</v>
      </c>
      <c r="N18" s="6" t="s">
        <v>113</v>
      </c>
    </row>
    <row r="19" spans="2:14" ht="30.75" customHeight="1" x14ac:dyDescent="0.2">
      <c r="B19" s="18" t="s">
        <v>114</v>
      </c>
      <c r="C19" s="347" t="s">
        <v>115</v>
      </c>
      <c r="D19" s="347"/>
      <c r="E19" s="347"/>
      <c r="F19" s="347"/>
      <c r="G19" s="347"/>
      <c r="H19" s="347"/>
      <c r="I19" s="348"/>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347" t="s">
        <v>124</v>
      </c>
      <c r="D22" s="347"/>
      <c r="E22" s="347"/>
      <c r="F22" s="347" t="s">
        <v>125</v>
      </c>
      <c r="G22" s="347"/>
      <c r="H22" s="347"/>
      <c r="I22" s="348"/>
      <c r="J22" s="24"/>
      <c r="K22" s="24"/>
      <c r="M22" s="21" t="s">
        <v>126</v>
      </c>
      <c r="N22" s="6" t="s">
        <v>127</v>
      </c>
    </row>
    <row r="23" spans="2:14" ht="39.75" customHeight="1" x14ac:dyDescent="0.2">
      <c r="B23" s="18" t="s">
        <v>128</v>
      </c>
      <c r="C23" s="349" t="s">
        <v>52</v>
      </c>
      <c r="D23" s="349"/>
      <c r="E23" s="349"/>
      <c r="F23" s="349" t="s">
        <v>52</v>
      </c>
      <c r="G23" s="349"/>
      <c r="H23" s="349"/>
      <c r="I23" s="350"/>
      <c r="J23" s="17"/>
      <c r="K23" s="17"/>
      <c r="M23" s="21"/>
      <c r="N23" s="6" t="s">
        <v>93</v>
      </c>
    </row>
    <row r="24" spans="2:14" ht="44.25" customHeight="1" x14ac:dyDescent="0.2">
      <c r="B24" s="18" t="s">
        <v>129</v>
      </c>
      <c r="C24" s="323" t="s">
        <v>130</v>
      </c>
      <c r="D24" s="324"/>
      <c r="E24" s="325"/>
      <c r="F24" s="326" t="s">
        <v>131</v>
      </c>
      <c r="G24" s="327"/>
      <c r="H24" s="327"/>
      <c r="I24" s="328"/>
      <c r="J24" s="23"/>
      <c r="K24" s="23"/>
      <c r="M24" s="27"/>
      <c r="N24" s="6" t="s">
        <v>132</v>
      </c>
    </row>
    <row r="25" spans="2:14" ht="29.25" customHeight="1" x14ac:dyDescent="0.2">
      <c r="B25" s="18" t="s">
        <v>133</v>
      </c>
      <c r="C25" s="329" t="s">
        <v>103</v>
      </c>
      <c r="D25" s="330"/>
      <c r="E25" s="331"/>
      <c r="F25" s="16" t="s">
        <v>134</v>
      </c>
      <c r="G25" s="332">
        <v>0.3</v>
      </c>
      <c r="H25" s="333"/>
      <c r="I25" s="334"/>
      <c r="J25" s="28"/>
      <c r="K25" s="28"/>
      <c r="M25" s="27"/>
    </row>
    <row r="26" spans="2:14" ht="27" customHeight="1" x14ac:dyDescent="0.2">
      <c r="B26" s="18" t="s">
        <v>135</v>
      </c>
      <c r="C26" s="326" t="s">
        <v>136</v>
      </c>
      <c r="D26" s="327"/>
      <c r="E26" s="335"/>
      <c r="F26" s="16" t="s">
        <v>137</v>
      </c>
      <c r="G26" s="336">
        <v>0.3</v>
      </c>
      <c r="H26" s="337"/>
      <c r="I26" s="338"/>
      <c r="J26" s="29"/>
      <c r="K26" s="29"/>
      <c r="M26" s="27"/>
    </row>
    <row r="27" spans="2:14" ht="47.25" customHeight="1" x14ac:dyDescent="0.2">
      <c r="B27" s="97" t="s">
        <v>138</v>
      </c>
      <c r="C27" s="339" t="s">
        <v>108</v>
      </c>
      <c r="D27" s="340"/>
      <c r="E27" s="341"/>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00" t="s">
        <v>53</v>
      </c>
      <c r="D42" s="300"/>
      <c r="E42" s="300"/>
      <c r="F42" s="300"/>
      <c r="G42" s="300"/>
      <c r="H42" s="300"/>
      <c r="I42" s="301"/>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83.25" customHeight="1" x14ac:dyDescent="0.2">
      <c r="B49" s="18" t="s">
        <v>165</v>
      </c>
      <c r="C49" s="300" t="s">
        <v>53</v>
      </c>
      <c r="D49" s="300"/>
      <c r="E49" s="300"/>
      <c r="F49" s="300"/>
      <c r="G49" s="300"/>
      <c r="H49" s="300"/>
      <c r="I49" s="301"/>
      <c r="J49" s="38"/>
      <c r="K49" s="38"/>
    </row>
    <row r="50" spans="2:11" ht="34.5" customHeight="1" x14ac:dyDescent="0.2">
      <c r="B50" s="18" t="s">
        <v>166</v>
      </c>
      <c r="C50" s="284" t="s">
        <v>140</v>
      </c>
      <c r="D50" s="284"/>
      <c r="E50" s="284"/>
      <c r="F50" s="284"/>
      <c r="G50" s="284"/>
      <c r="H50" s="284"/>
      <c r="I50" s="302"/>
      <c r="J50" s="38"/>
      <c r="K50" s="38"/>
    </row>
    <row r="51" spans="2:11" ht="34.5" customHeight="1" x14ac:dyDescent="0.2">
      <c r="B51" s="112" t="s">
        <v>167</v>
      </c>
      <c r="C51" s="303" t="s">
        <v>54</v>
      </c>
      <c r="D51" s="304"/>
      <c r="E51" s="304"/>
      <c r="F51" s="304"/>
      <c r="G51" s="304"/>
      <c r="H51" s="304"/>
      <c r="I51" s="305"/>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40"/>
      <c r="D54" s="284"/>
      <c r="E54" s="284"/>
      <c r="F54" s="284"/>
      <c r="G54" s="312"/>
      <c r="H54" s="312"/>
      <c r="I54" s="313"/>
      <c r="J54" s="39"/>
      <c r="K54" s="39"/>
    </row>
    <row r="55" spans="2:11" ht="31.5" customHeight="1" x14ac:dyDescent="0.2">
      <c r="B55" s="112" t="s">
        <v>173</v>
      </c>
      <c r="C55" s="296" t="s">
        <v>174</v>
      </c>
      <c r="D55" s="296"/>
      <c r="E55" s="297" t="s">
        <v>175</v>
      </c>
      <c r="F55" s="297"/>
      <c r="G55" s="296" t="s">
        <v>176</v>
      </c>
      <c r="H55" s="296"/>
      <c r="I55" s="298"/>
      <c r="J55" s="41"/>
      <c r="K55" s="41"/>
    </row>
    <row r="56" spans="2:11" ht="31.5" customHeight="1" x14ac:dyDescent="0.2">
      <c r="B56" s="112" t="s">
        <v>177</v>
      </c>
      <c r="C56" s="284" t="str">
        <f>+'[3]HV 1'!C56:D56</f>
        <v>NICOLAS ADOLFO CORREAL HUERTAS</v>
      </c>
      <c r="D56" s="284"/>
      <c r="E56" s="299" t="s">
        <v>178</v>
      </c>
      <c r="F56" s="299"/>
      <c r="G56" s="296" t="str">
        <f>+'[4]HV 1'!G56:I56</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6.42578125" customWidth="1"/>
    <col min="6" max="6" width="30.85546875" customWidth="1"/>
    <col min="7" max="8" width="16.140625" customWidth="1"/>
    <col min="9" max="9" width="16.285156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1"/>
      <c r="C1" s="404" t="s">
        <v>0</v>
      </c>
      <c r="D1" s="405"/>
      <c r="E1" s="405"/>
      <c r="F1" s="405"/>
      <c r="G1" s="405"/>
      <c r="H1" s="406"/>
      <c r="I1" s="407"/>
      <c r="J1" s="408"/>
    </row>
    <row r="2" spans="2:13" ht="18" customHeight="1" thickBot="1" x14ac:dyDescent="0.3">
      <c r="B2" s="402"/>
      <c r="C2" s="404" t="s">
        <v>1</v>
      </c>
      <c r="D2" s="405"/>
      <c r="E2" s="405"/>
      <c r="F2" s="405"/>
      <c r="G2" s="405"/>
      <c r="H2" s="406"/>
      <c r="I2" s="409"/>
      <c r="J2" s="410"/>
    </row>
    <row r="3" spans="2:13" ht="18" customHeight="1" thickBot="1" x14ac:dyDescent="0.3">
      <c r="B3" s="402"/>
      <c r="C3" s="404" t="s">
        <v>182</v>
      </c>
      <c r="D3" s="405"/>
      <c r="E3" s="405"/>
      <c r="F3" s="405"/>
      <c r="G3" s="405"/>
      <c r="H3" s="406"/>
      <c r="I3" s="409"/>
      <c r="J3" s="410"/>
    </row>
    <row r="4" spans="2:13" ht="18" customHeight="1" thickBot="1" x14ac:dyDescent="0.3">
      <c r="B4" s="403"/>
      <c r="C4" s="404" t="s">
        <v>183</v>
      </c>
      <c r="D4" s="405"/>
      <c r="E4" s="405"/>
      <c r="F4" s="406"/>
      <c r="G4" s="413" t="s">
        <v>184</v>
      </c>
      <c r="H4" s="414"/>
      <c r="I4" s="411"/>
      <c r="J4" s="412"/>
    </row>
    <row r="5" spans="2:13" ht="18" customHeight="1" thickBot="1" x14ac:dyDescent="0.3">
      <c r="B5" s="53"/>
      <c r="C5" s="10"/>
      <c r="D5" s="10"/>
      <c r="E5" s="10"/>
      <c r="F5" s="10"/>
      <c r="G5" s="10"/>
      <c r="H5" s="10"/>
      <c r="I5" s="10"/>
      <c r="J5" s="54"/>
    </row>
    <row r="6" spans="2:13" ht="51.75" customHeight="1" thickBot="1" x14ac:dyDescent="0.3">
      <c r="B6" s="1" t="s">
        <v>185</v>
      </c>
      <c r="C6" s="415" t="str">
        <f>+'[5]Sección 1. Metas - Magnitud'!C7</f>
        <v>1032 - Gestión y control de tránsito y transporte</v>
      </c>
      <c r="D6" s="416"/>
      <c r="E6" s="417"/>
      <c r="F6" s="55"/>
      <c r="G6" s="10"/>
      <c r="H6" s="10"/>
      <c r="I6" s="10"/>
      <c r="J6" s="54"/>
    </row>
    <row r="7" spans="2:13" ht="32.25" customHeight="1" thickBot="1" x14ac:dyDescent="0.3">
      <c r="B7" s="2" t="s">
        <v>186</v>
      </c>
      <c r="C7" s="415" t="str">
        <f>+'[5]Sección 1. Metas - Magnitud'!C8:F8</f>
        <v>Dirección de Control y Vigilancia</v>
      </c>
      <c r="D7" s="416"/>
      <c r="E7" s="417"/>
      <c r="F7" s="55"/>
      <c r="G7" s="10"/>
      <c r="H7" s="10"/>
      <c r="I7" s="10"/>
      <c r="J7" s="54"/>
    </row>
    <row r="8" spans="2:13" ht="32.25" customHeight="1" thickBot="1" x14ac:dyDescent="0.3">
      <c r="B8" s="2" t="s">
        <v>187</v>
      </c>
      <c r="C8" s="415" t="str">
        <f>+'[5]Sección 1. Metas - Magnitud'!C9:F9</f>
        <v>Subsecretaría de Servicios de la Movilidad</v>
      </c>
      <c r="D8" s="416"/>
      <c r="E8" s="417"/>
      <c r="F8" s="4"/>
      <c r="G8" s="10"/>
      <c r="H8" s="10"/>
      <c r="I8" s="10"/>
      <c r="J8" s="54"/>
    </row>
    <row r="9" spans="2:13" ht="33.75" customHeight="1" thickBot="1" x14ac:dyDescent="0.3">
      <c r="B9" s="2" t="s">
        <v>188</v>
      </c>
      <c r="C9" s="415" t="s">
        <v>189</v>
      </c>
      <c r="D9" s="416"/>
      <c r="E9" s="417"/>
      <c r="F9" s="55"/>
      <c r="G9" s="10"/>
      <c r="H9" s="10"/>
      <c r="I9" s="10"/>
      <c r="J9" s="54"/>
    </row>
    <row r="10" spans="2:13" ht="32.25" customHeight="1" thickBot="1" x14ac:dyDescent="0.3">
      <c r="B10" s="2" t="s">
        <v>190</v>
      </c>
      <c r="C10" s="415" t="s">
        <v>95</v>
      </c>
      <c r="D10" s="416"/>
      <c r="E10" s="417"/>
    </row>
    <row r="12" spans="2:13" x14ac:dyDescent="0.25">
      <c r="B12" s="394" t="s">
        <v>191</v>
      </c>
      <c r="C12" s="395"/>
      <c r="D12" s="395"/>
      <c r="E12" s="395"/>
      <c r="F12" s="395"/>
      <c r="G12" s="395"/>
      <c r="H12" s="396"/>
      <c r="I12" s="386" t="s">
        <v>192</v>
      </c>
      <c r="J12" s="387"/>
      <c r="K12" s="387"/>
    </row>
    <row r="13" spans="2:13" s="57" customFormat="1" ht="30" customHeight="1" x14ac:dyDescent="0.25">
      <c r="B13" s="388" t="s">
        <v>193</v>
      </c>
      <c r="C13" s="388" t="s">
        <v>194</v>
      </c>
      <c r="D13" s="388" t="s">
        <v>195</v>
      </c>
      <c r="E13" s="388" t="s">
        <v>196</v>
      </c>
      <c r="F13" s="388" t="s">
        <v>197</v>
      </c>
      <c r="G13" s="388" t="s">
        <v>198</v>
      </c>
      <c r="H13" s="388" t="s">
        <v>199</v>
      </c>
      <c r="I13" s="390" t="s">
        <v>200</v>
      </c>
      <c r="J13" s="392" t="s">
        <v>201</v>
      </c>
      <c r="K13" s="385" t="s">
        <v>202</v>
      </c>
    </row>
    <row r="14" spans="2:13" s="57" customFormat="1" x14ac:dyDescent="0.25">
      <c r="B14" s="389"/>
      <c r="C14" s="389"/>
      <c r="D14" s="389"/>
      <c r="E14" s="389"/>
      <c r="F14" s="389"/>
      <c r="G14" s="389"/>
      <c r="H14" s="389"/>
      <c r="I14" s="391"/>
      <c r="J14" s="393"/>
      <c r="K14" s="38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397" t="s">
        <v>209</v>
      </c>
      <c r="C18" s="398"/>
      <c r="D18" s="58">
        <f>SUM(D15:D17)</f>
        <v>0.25</v>
      </c>
      <c r="E18" s="399" t="s">
        <v>209</v>
      </c>
      <c r="F18" s="400"/>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topLeftCell="G27" zoomScale="90" zoomScaleNormal="90" workbookViewId="0">
      <selection activeCell="H31" sqref="H31"/>
    </sheetView>
  </sheetViews>
  <sheetFormatPr baseColWidth="10" defaultColWidth="11.42578125" defaultRowHeight="15" x14ac:dyDescent="0.25"/>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1</v>
      </c>
      <c r="D6" s="472" t="s">
        <v>215</v>
      </c>
      <c r="E6" s="472"/>
      <c r="F6" s="457" t="s">
        <v>216</v>
      </c>
      <c r="G6" s="457"/>
      <c r="H6" s="457"/>
      <c r="I6" s="457"/>
    </row>
    <row r="7" spans="2:9" ht="30.75" customHeight="1" x14ac:dyDescent="0.25">
      <c r="B7" s="164" t="s">
        <v>217</v>
      </c>
      <c r="C7" s="179" t="s">
        <v>96</v>
      </c>
      <c r="D7" s="472" t="s">
        <v>218</v>
      </c>
      <c r="E7" s="472"/>
      <c r="F7" s="457" t="s">
        <v>219</v>
      </c>
      <c r="G7" s="457"/>
      <c r="H7" s="167" t="s">
        <v>220</v>
      </c>
      <c r="I7" s="179" t="s">
        <v>96</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231</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53" t="s">
        <v>237</v>
      </c>
      <c r="D14" s="353"/>
      <c r="E14" s="353"/>
      <c r="F14" s="353"/>
      <c r="G14" s="353"/>
      <c r="H14" s="353"/>
      <c r="I14" s="353"/>
    </row>
    <row r="15" spans="2:9" ht="30.75" customHeight="1" x14ac:dyDescent="0.25">
      <c r="B15" s="164" t="s">
        <v>238</v>
      </c>
      <c r="C15" s="347" t="s">
        <v>239</v>
      </c>
      <c r="D15" s="347"/>
      <c r="E15" s="347"/>
      <c r="F15" s="347"/>
      <c r="G15" s="347"/>
      <c r="H15" s="347"/>
      <c r="I15" s="347"/>
    </row>
    <row r="16" spans="2:9" ht="20.25" customHeight="1" x14ac:dyDescent="0.25">
      <c r="B16" s="164" t="s">
        <v>240</v>
      </c>
      <c r="C16" s="457" t="s">
        <v>241</v>
      </c>
      <c r="D16" s="457"/>
      <c r="E16" s="457"/>
      <c r="F16" s="457"/>
      <c r="G16" s="457"/>
      <c r="H16" s="457"/>
      <c r="I16" s="457"/>
    </row>
    <row r="17" spans="2:13" ht="30.75" customHeight="1" x14ac:dyDescent="0.25">
      <c r="B17" s="164" t="s">
        <v>242</v>
      </c>
      <c r="C17" s="458" t="s">
        <v>243</v>
      </c>
      <c r="D17" s="459"/>
      <c r="E17" s="459"/>
      <c r="F17" s="459"/>
      <c r="G17" s="459"/>
      <c r="H17" s="459"/>
      <c r="I17" s="459"/>
    </row>
    <row r="18" spans="2:13" ht="18" customHeight="1" x14ac:dyDescent="0.25">
      <c r="B18" s="460" t="s">
        <v>244</v>
      </c>
      <c r="C18" s="461" t="s">
        <v>245</v>
      </c>
      <c r="D18" s="461"/>
      <c r="E18" s="461"/>
      <c r="F18" s="462" t="s">
        <v>246</v>
      </c>
      <c r="G18" s="462"/>
      <c r="H18" s="462"/>
      <c r="I18" s="462"/>
    </row>
    <row r="19" spans="2:13" ht="39.75" customHeight="1" x14ac:dyDescent="0.25">
      <c r="B19" s="460"/>
      <c r="C19" s="457" t="s">
        <v>247</v>
      </c>
      <c r="D19" s="457"/>
      <c r="E19" s="457"/>
      <c r="F19" s="457" t="s">
        <v>248</v>
      </c>
      <c r="G19" s="457"/>
      <c r="H19" s="457"/>
      <c r="I19" s="457"/>
    </row>
    <row r="20" spans="2:13" ht="39.75" customHeight="1" x14ac:dyDescent="0.25">
      <c r="B20" s="165" t="s">
        <v>249</v>
      </c>
      <c r="C20" s="435" t="s">
        <v>250</v>
      </c>
      <c r="D20" s="436"/>
      <c r="E20" s="437"/>
      <c r="F20" s="349" t="s">
        <v>251</v>
      </c>
      <c r="G20" s="349"/>
      <c r="H20" s="349"/>
      <c r="I20" s="350"/>
    </row>
    <row r="21" spans="2:13" ht="42" customHeight="1" x14ac:dyDescent="0.25">
      <c r="B21" s="165" t="s">
        <v>252</v>
      </c>
      <c r="C21" s="438" t="s">
        <v>253</v>
      </c>
      <c r="D21" s="439"/>
      <c r="E21" s="440"/>
      <c r="F21" s="441" t="s">
        <v>254</v>
      </c>
      <c r="G21" s="442"/>
      <c r="H21" s="442"/>
      <c r="I21" s="443"/>
    </row>
    <row r="22" spans="2:13" ht="23.25" customHeight="1" x14ac:dyDescent="0.25">
      <c r="B22" s="165" t="s">
        <v>255</v>
      </c>
      <c r="C22" s="444">
        <v>44927</v>
      </c>
      <c r="D22" s="445"/>
      <c r="E22" s="446"/>
      <c r="F22" s="167" t="s">
        <v>256</v>
      </c>
      <c r="G22" s="193">
        <v>350</v>
      </c>
      <c r="H22" s="167" t="s">
        <v>257</v>
      </c>
      <c r="I22" s="194">
        <f>41+300+350</f>
        <v>691</v>
      </c>
    </row>
    <row r="23" spans="2:13" ht="27" customHeight="1" x14ac:dyDescent="0.25">
      <c r="B23" s="165" t="s">
        <v>258</v>
      </c>
      <c r="C23" s="444">
        <v>45291</v>
      </c>
      <c r="D23" s="327"/>
      <c r="E23" s="447"/>
      <c r="F23" s="167" t="s">
        <v>259</v>
      </c>
      <c r="G23" s="448">
        <f>+F27</f>
        <v>208</v>
      </c>
      <c r="H23" s="449"/>
      <c r="I23" s="450"/>
    </row>
    <row r="24" spans="2:13" ht="45.75" customHeight="1" x14ac:dyDescent="0.25">
      <c r="B24" s="166" t="s">
        <v>260</v>
      </c>
      <c r="C24" s="339" t="s">
        <v>112</v>
      </c>
      <c r="D24" s="340"/>
      <c r="E24" s="341"/>
      <c r="F24" s="181" t="s">
        <v>261</v>
      </c>
      <c r="G24" s="441" t="s">
        <v>262</v>
      </c>
      <c r="H24" s="442"/>
      <c r="I24" s="451"/>
    </row>
    <row r="25" spans="2:13" ht="22.5" customHeight="1" x14ac:dyDescent="0.25">
      <c r="B25" s="452" t="s">
        <v>263</v>
      </c>
      <c r="C25" s="434"/>
      <c r="D25" s="434"/>
      <c r="E25" s="434"/>
      <c r="F25" s="434"/>
      <c r="G25" s="434"/>
      <c r="H25" s="434"/>
      <c r="I25" s="453"/>
    </row>
    <row r="26" spans="2:13" ht="43.5" customHeight="1" x14ac:dyDescent="0.25">
      <c r="B26" s="169" t="s">
        <v>142</v>
      </c>
      <c r="C26" s="170" t="s">
        <v>264</v>
      </c>
      <c r="D26" s="170" t="s">
        <v>265</v>
      </c>
      <c r="E26" s="171" t="s">
        <v>266</v>
      </c>
      <c r="F26" s="170" t="s">
        <v>267</v>
      </c>
      <c r="G26" s="170" t="s">
        <v>268</v>
      </c>
      <c r="H26" s="171" t="s">
        <v>269</v>
      </c>
      <c r="I26" s="172" t="s">
        <v>270</v>
      </c>
    </row>
    <row r="27" spans="2:13" ht="19.5" customHeight="1" x14ac:dyDescent="0.25">
      <c r="B27" s="173" t="s">
        <v>151</v>
      </c>
      <c r="C27" s="195">
        <v>8</v>
      </c>
      <c r="D27" s="195">
        <v>7</v>
      </c>
      <c r="E27" s="191">
        <f>IF(OR(C27=0,C27=""),0,D27/C27)</f>
        <v>0.875</v>
      </c>
      <c r="F27" s="454">
        <f>SUM(C27:C38)</f>
        <v>208</v>
      </c>
      <c r="G27" s="454">
        <f>SUM(D27:D38)</f>
        <v>194</v>
      </c>
      <c r="H27" s="182">
        <f>+(D27*100%)/$G$23</f>
        <v>3.3653846153846152E-2</v>
      </c>
      <c r="I27" s="454">
        <f>G27+I22</f>
        <v>885</v>
      </c>
    </row>
    <row r="28" spans="2:13" ht="19.5" customHeight="1" x14ac:dyDescent="0.25">
      <c r="B28" s="173" t="s">
        <v>152</v>
      </c>
      <c r="C28" s="195">
        <v>10</v>
      </c>
      <c r="D28" s="203">
        <v>29</v>
      </c>
      <c r="E28" s="191">
        <f t="shared" ref="E28:E38" si="0">IF(OR(C28=0,C28=""),0,D28/C28)</f>
        <v>2.9</v>
      </c>
      <c r="F28" s="455"/>
      <c r="G28" s="455"/>
      <c r="H28" s="182">
        <f>+IF(D28="","",((D28*100%)/$G$23)+H27)</f>
        <v>0.17307692307692307</v>
      </c>
      <c r="I28" s="455"/>
    </row>
    <row r="29" spans="2:13" ht="19.5" customHeight="1" x14ac:dyDescent="0.25">
      <c r="B29" s="173" t="s">
        <v>153</v>
      </c>
      <c r="C29" s="195">
        <v>15</v>
      </c>
      <c r="D29" s="203">
        <v>29</v>
      </c>
      <c r="E29" s="191">
        <f t="shared" si="0"/>
        <v>1.9333333333333333</v>
      </c>
      <c r="F29" s="455"/>
      <c r="G29" s="455"/>
      <c r="H29" s="182">
        <f t="shared" ref="H29:H38" si="1">+IF(D29="","",((D29*100%)/$G$23)+H28)</f>
        <v>0.3125</v>
      </c>
      <c r="I29" s="455"/>
    </row>
    <row r="30" spans="2:13" ht="19.5" customHeight="1" x14ac:dyDescent="0.25">
      <c r="B30" s="173" t="s">
        <v>154</v>
      </c>
      <c r="C30" s="195">
        <v>18</v>
      </c>
      <c r="D30" s="203">
        <v>24</v>
      </c>
      <c r="E30" s="191">
        <f t="shared" si="0"/>
        <v>1.3333333333333333</v>
      </c>
      <c r="F30" s="455"/>
      <c r="G30" s="455"/>
      <c r="H30" s="182">
        <f t="shared" si="1"/>
        <v>0.42788461538461542</v>
      </c>
      <c r="I30" s="455"/>
    </row>
    <row r="31" spans="2:13" ht="19.5" customHeight="1" x14ac:dyDescent="0.25">
      <c r="B31" s="173" t="s">
        <v>155</v>
      </c>
      <c r="C31" s="195">
        <v>22</v>
      </c>
      <c r="D31" s="195">
        <v>10</v>
      </c>
      <c r="E31" s="191">
        <f t="shared" si="0"/>
        <v>0.45454545454545453</v>
      </c>
      <c r="F31" s="455"/>
      <c r="G31" s="455"/>
      <c r="H31" s="182">
        <f t="shared" si="1"/>
        <v>0.47596153846153849</v>
      </c>
      <c r="I31" s="455"/>
    </row>
    <row r="32" spans="2:13" ht="19.5" customHeight="1" x14ac:dyDescent="0.25">
      <c r="B32" s="173" t="s">
        <v>156</v>
      </c>
      <c r="C32" s="195">
        <v>32</v>
      </c>
      <c r="D32" s="195">
        <v>12</v>
      </c>
      <c r="E32" s="191">
        <f t="shared" si="0"/>
        <v>0.375</v>
      </c>
      <c r="F32" s="455"/>
      <c r="G32" s="455"/>
      <c r="H32" s="182">
        <f t="shared" si="1"/>
        <v>0.53365384615384615</v>
      </c>
      <c r="I32" s="455"/>
      <c r="M32" s="205"/>
    </row>
    <row r="33" spans="2:20" ht="19.5" customHeight="1" x14ac:dyDescent="0.25">
      <c r="B33" s="173" t="s">
        <v>157</v>
      </c>
      <c r="C33" s="195">
        <v>32</v>
      </c>
      <c r="D33" s="195">
        <v>28</v>
      </c>
      <c r="E33" s="191">
        <f t="shared" si="0"/>
        <v>0.875</v>
      </c>
      <c r="F33" s="455"/>
      <c r="G33" s="455"/>
      <c r="H33" s="182">
        <f t="shared" si="1"/>
        <v>0.66826923076923073</v>
      </c>
      <c r="I33" s="455"/>
    </row>
    <row r="34" spans="2:20" ht="19.5" customHeight="1" x14ac:dyDescent="0.25">
      <c r="B34" s="173" t="s">
        <v>158</v>
      </c>
      <c r="C34" s="195">
        <v>20</v>
      </c>
      <c r="D34" s="195">
        <v>41</v>
      </c>
      <c r="E34" s="191">
        <f t="shared" si="0"/>
        <v>2.0499999999999998</v>
      </c>
      <c r="F34" s="455"/>
      <c r="G34" s="455"/>
      <c r="H34" s="182">
        <f t="shared" si="1"/>
        <v>0.86538461538461531</v>
      </c>
      <c r="I34" s="455"/>
    </row>
    <row r="35" spans="2:20" ht="19.5" customHeight="1" x14ac:dyDescent="0.25">
      <c r="B35" s="173" t="s">
        <v>159</v>
      </c>
      <c r="C35" s="195">
        <v>18</v>
      </c>
      <c r="D35" s="195">
        <v>14</v>
      </c>
      <c r="E35" s="191">
        <f t="shared" si="0"/>
        <v>0.77777777777777779</v>
      </c>
      <c r="F35" s="455"/>
      <c r="G35" s="455"/>
      <c r="H35" s="182">
        <f t="shared" si="1"/>
        <v>0.9326923076923076</v>
      </c>
      <c r="I35" s="455"/>
    </row>
    <row r="36" spans="2:20" ht="19.5" customHeight="1" x14ac:dyDescent="0.25">
      <c r="B36" s="173" t="s">
        <v>160</v>
      </c>
      <c r="C36" s="195">
        <v>15</v>
      </c>
      <c r="D36" s="195"/>
      <c r="E36" s="191">
        <f t="shared" si="0"/>
        <v>0</v>
      </c>
      <c r="F36" s="455"/>
      <c r="G36" s="455"/>
      <c r="H36" s="182" t="str">
        <f t="shared" si="1"/>
        <v/>
      </c>
      <c r="I36" s="455"/>
    </row>
    <row r="37" spans="2:20" ht="19.5" customHeight="1" x14ac:dyDescent="0.25">
      <c r="B37" s="173" t="s">
        <v>161</v>
      </c>
      <c r="C37" s="195">
        <v>10</v>
      </c>
      <c r="D37" s="195"/>
      <c r="E37" s="191">
        <f t="shared" si="0"/>
        <v>0</v>
      </c>
      <c r="F37" s="455"/>
      <c r="G37" s="455"/>
      <c r="H37" s="182" t="str">
        <f t="shared" si="1"/>
        <v/>
      </c>
      <c r="I37" s="455"/>
    </row>
    <row r="38" spans="2:20" ht="19.5" customHeight="1" x14ac:dyDescent="0.25">
      <c r="B38" s="173" t="s">
        <v>162</v>
      </c>
      <c r="C38" s="195">
        <v>8</v>
      </c>
      <c r="D38" s="195"/>
      <c r="E38" s="191">
        <f t="shared" si="0"/>
        <v>0</v>
      </c>
      <c r="F38" s="456"/>
      <c r="G38" s="456"/>
      <c r="H38" s="182" t="str">
        <f t="shared" si="1"/>
        <v/>
      </c>
      <c r="I38" s="456"/>
    </row>
    <row r="39" spans="2:20" ht="93" customHeight="1" x14ac:dyDescent="0.25">
      <c r="B39" s="174" t="s">
        <v>271</v>
      </c>
      <c r="C39" s="428" t="s">
        <v>381</v>
      </c>
      <c r="D39" s="429"/>
      <c r="E39" s="429"/>
      <c r="F39" s="429"/>
      <c r="G39" s="429"/>
      <c r="H39" s="429"/>
      <c r="I39" s="430"/>
      <c r="N39" s="7"/>
      <c r="O39" s="7"/>
      <c r="P39" s="7"/>
      <c r="Q39" s="7"/>
      <c r="R39" s="7"/>
      <c r="S39" s="7"/>
      <c r="T39" s="7"/>
    </row>
    <row r="40" spans="2:20" ht="34.5" customHeight="1" x14ac:dyDescent="0.25">
      <c r="B40" s="422"/>
      <c r="C40" s="315"/>
      <c r="D40" s="315"/>
      <c r="E40" s="315"/>
      <c r="F40" s="315"/>
      <c r="G40" s="315"/>
      <c r="H40" s="315"/>
      <c r="I40" s="423"/>
    </row>
    <row r="41" spans="2:20" ht="34.5" customHeight="1" x14ac:dyDescent="0.25">
      <c r="B41" s="424"/>
      <c r="C41" s="318"/>
      <c r="D41" s="318"/>
      <c r="E41" s="318"/>
      <c r="F41" s="318"/>
      <c r="G41" s="318"/>
      <c r="H41" s="318"/>
      <c r="I41" s="425"/>
    </row>
    <row r="42" spans="2:20" ht="34.5" customHeight="1" x14ac:dyDescent="0.25">
      <c r="B42" s="424"/>
      <c r="C42" s="318"/>
      <c r="D42" s="318"/>
      <c r="E42" s="318"/>
      <c r="F42" s="318"/>
      <c r="G42" s="318"/>
      <c r="H42" s="318"/>
      <c r="I42" s="425"/>
    </row>
    <row r="43" spans="2:20" ht="34.5" customHeight="1" x14ac:dyDescent="0.25">
      <c r="B43" s="424"/>
      <c r="C43" s="318"/>
      <c r="D43" s="318"/>
      <c r="E43" s="318"/>
      <c r="F43" s="318"/>
      <c r="G43" s="318"/>
      <c r="H43" s="318"/>
      <c r="I43" s="425"/>
    </row>
    <row r="44" spans="2:20" ht="34.5" customHeight="1" x14ac:dyDescent="0.25">
      <c r="B44" s="426"/>
      <c r="C44" s="321"/>
      <c r="D44" s="321"/>
      <c r="E44" s="321"/>
      <c r="F44" s="321"/>
      <c r="G44" s="321"/>
      <c r="H44" s="321"/>
      <c r="I44" s="427"/>
    </row>
    <row r="45" spans="2:20" ht="129.75" customHeight="1" x14ac:dyDescent="0.25">
      <c r="B45" s="164" t="s">
        <v>272</v>
      </c>
      <c r="C45" s="428" t="s">
        <v>382</v>
      </c>
      <c r="D45" s="429"/>
      <c r="E45" s="429"/>
      <c r="F45" s="429"/>
      <c r="G45" s="429"/>
      <c r="H45" s="429"/>
      <c r="I45" s="430"/>
    </row>
    <row r="46" spans="2:20" ht="54.75" customHeight="1" x14ac:dyDescent="0.25">
      <c r="B46" s="164" t="s">
        <v>273</v>
      </c>
      <c r="C46" s="428" t="s">
        <v>44</v>
      </c>
      <c r="D46" s="429"/>
      <c r="E46" s="429"/>
      <c r="F46" s="429"/>
      <c r="G46" s="429"/>
      <c r="H46" s="429"/>
      <c r="I46" s="430"/>
    </row>
    <row r="47" spans="2:20" ht="54.75" customHeight="1" x14ac:dyDescent="0.25">
      <c r="B47" s="175" t="s">
        <v>274</v>
      </c>
      <c r="C47" s="431" t="s">
        <v>275</v>
      </c>
      <c r="D47" s="432"/>
      <c r="E47" s="432"/>
      <c r="F47" s="432"/>
      <c r="G47" s="432"/>
      <c r="H47" s="432"/>
      <c r="I47" s="433"/>
    </row>
    <row r="48" spans="2:20"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282</v>
      </c>
      <c r="D51" s="421"/>
      <c r="E51" s="421"/>
      <c r="F51" s="421"/>
      <c r="G51" s="421"/>
      <c r="H51" s="421"/>
      <c r="I51" s="421"/>
    </row>
    <row r="52" spans="2:9" ht="28.5" customHeight="1" x14ac:dyDescent="0.25">
      <c r="B52" s="167" t="s">
        <v>283</v>
      </c>
      <c r="C52" s="435" t="s">
        <v>284</v>
      </c>
      <c r="D52" s="436"/>
      <c r="E52" s="436"/>
      <c r="F52" s="436"/>
      <c r="G52" s="436"/>
      <c r="H52" s="436"/>
      <c r="I52" s="437"/>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C42" zoomScale="90" zoomScaleNormal="90" workbookViewId="0">
      <selection activeCell="C45" sqref="C45:I4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9" width="11.42578125" style="3"/>
    <col min="20"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2</v>
      </c>
      <c r="D6" s="472" t="s">
        <v>215</v>
      </c>
      <c r="E6" s="472"/>
      <c r="F6" s="457" t="s">
        <v>288</v>
      </c>
      <c r="G6" s="457"/>
      <c r="H6" s="457"/>
      <c r="I6" s="457"/>
    </row>
    <row r="7" spans="2:9" ht="30.75" customHeight="1" x14ac:dyDescent="0.2">
      <c r="B7" s="164" t="s">
        <v>217</v>
      </c>
      <c r="C7" s="179" t="s">
        <v>78</v>
      </c>
      <c r="D7" s="472" t="s">
        <v>218</v>
      </c>
      <c r="E7" s="472"/>
      <c r="F7" s="457" t="s">
        <v>219</v>
      </c>
      <c r="G7" s="457"/>
      <c r="H7" s="167" t="s">
        <v>220</v>
      </c>
      <c r="I7" s="179" t="s">
        <v>78</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289</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72" t="s">
        <v>290</v>
      </c>
      <c r="D14" s="372"/>
      <c r="E14" s="372"/>
      <c r="F14" s="372"/>
      <c r="G14" s="372"/>
      <c r="H14" s="372"/>
      <c r="I14" s="372"/>
    </row>
    <row r="15" spans="2:9" ht="30.75" customHeight="1" x14ac:dyDescent="0.2">
      <c r="B15" s="164" t="s">
        <v>238</v>
      </c>
      <c r="C15" s="347" t="s">
        <v>291</v>
      </c>
      <c r="D15" s="347"/>
      <c r="E15" s="347"/>
      <c r="F15" s="347"/>
      <c r="G15" s="347"/>
      <c r="H15" s="347"/>
      <c r="I15" s="347"/>
    </row>
    <row r="16" spans="2:9" ht="20.25" customHeight="1" x14ac:dyDescent="0.2">
      <c r="B16" s="164" t="s">
        <v>240</v>
      </c>
      <c r="C16" s="457" t="s">
        <v>292</v>
      </c>
      <c r="D16" s="457"/>
      <c r="E16" s="457"/>
      <c r="F16" s="457"/>
      <c r="G16" s="457"/>
      <c r="H16" s="457"/>
      <c r="I16" s="457"/>
    </row>
    <row r="17" spans="2:12" ht="30.75" customHeight="1" x14ac:dyDescent="0.2">
      <c r="B17" s="164" t="s">
        <v>242</v>
      </c>
      <c r="C17" s="458" t="s">
        <v>293</v>
      </c>
      <c r="D17" s="459"/>
      <c r="E17" s="459"/>
      <c r="F17" s="459"/>
      <c r="G17" s="459"/>
      <c r="H17" s="459"/>
      <c r="I17" s="459"/>
    </row>
    <row r="18" spans="2:12" ht="18" customHeight="1" x14ac:dyDescent="0.2">
      <c r="B18" s="460" t="s">
        <v>244</v>
      </c>
      <c r="C18" s="461" t="s">
        <v>245</v>
      </c>
      <c r="D18" s="461"/>
      <c r="E18" s="461"/>
      <c r="F18" s="462" t="s">
        <v>246</v>
      </c>
      <c r="G18" s="462"/>
      <c r="H18" s="462"/>
      <c r="I18" s="462"/>
    </row>
    <row r="19" spans="2:12" ht="39.75" customHeight="1" x14ac:dyDescent="0.2">
      <c r="B19" s="460"/>
      <c r="C19" s="457" t="s">
        <v>294</v>
      </c>
      <c r="D19" s="457"/>
      <c r="E19" s="457"/>
      <c r="F19" s="457" t="s">
        <v>295</v>
      </c>
      <c r="G19" s="457"/>
      <c r="H19" s="457"/>
      <c r="I19" s="457"/>
    </row>
    <row r="20" spans="2:12" ht="39.75" customHeight="1" x14ac:dyDescent="0.2">
      <c r="B20" s="165" t="s">
        <v>249</v>
      </c>
      <c r="C20" s="435" t="s">
        <v>296</v>
      </c>
      <c r="D20" s="436"/>
      <c r="E20" s="437"/>
      <c r="F20" s="349" t="s">
        <v>297</v>
      </c>
      <c r="G20" s="349"/>
      <c r="H20" s="349"/>
      <c r="I20" s="350"/>
    </row>
    <row r="21" spans="2:12" ht="42" customHeight="1" x14ac:dyDescent="0.2">
      <c r="B21" s="165" t="s">
        <v>252</v>
      </c>
      <c r="C21" s="438" t="s">
        <v>298</v>
      </c>
      <c r="D21" s="439"/>
      <c r="E21" s="440"/>
      <c r="F21" s="441" t="s">
        <v>299</v>
      </c>
      <c r="G21" s="442"/>
      <c r="H21" s="442"/>
      <c r="I21" s="443"/>
    </row>
    <row r="22" spans="2:12" ht="23.25" customHeight="1" x14ac:dyDescent="0.2">
      <c r="B22" s="165" t="s">
        <v>255</v>
      </c>
      <c r="C22" s="444">
        <v>44927</v>
      </c>
      <c r="D22" s="445"/>
      <c r="E22" s="446"/>
      <c r="F22" s="167" t="s">
        <v>256</v>
      </c>
      <c r="G22" s="193">
        <v>2</v>
      </c>
      <c r="H22" s="167" t="s">
        <v>257</v>
      </c>
      <c r="I22" s="204">
        <f>3+2</f>
        <v>5</v>
      </c>
    </row>
    <row r="23" spans="2:12" ht="27" customHeight="1" x14ac:dyDescent="0.2">
      <c r="B23" s="165" t="s">
        <v>258</v>
      </c>
      <c r="C23" s="444">
        <v>45291</v>
      </c>
      <c r="D23" s="327"/>
      <c r="E23" s="447"/>
      <c r="F23" s="167" t="s">
        <v>259</v>
      </c>
      <c r="G23" s="448">
        <v>2</v>
      </c>
      <c r="H23" s="449"/>
      <c r="I23" s="450"/>
    </row>
    <row r="24" spans="2:12" ht="30.75" customHeight="1" x14ac:dyDescent="0.2">
      <c r="B24" s="166" t="s">
        <v>260</v>
      </c>
      <c r="C24" s="339" t="s">
        <v>112</v>
      </c>
      <c r="D24" s="340"/>
      <c r="E24" s="341"/>
      <c r="F24" s="168" t="s">
        <v>261</v>
      </c>
      <c r="G24" s="441" t="s">
        <v>262</v>
      </c>
      <c r="H24" s="442"/>
      <c r="I24" s="451"/>
    </row>
    <row r="25" spans="2:12" ht="22.5" customHeight="1" x14ac:dyDescent="0.2">
      <c r="B25" s="452" t="s">
        <v>263</v>
      </c>
      <c r="C25" s="434"/>
      <c r="D25" s="434"/>
      <c r="E25" s="434"/>
      <c r="F25" s="434"/>
      <c r="G25" s="434"/>
      <c r="H25" s="434"/>
      <c r="I25" s="453"/>
    </row>
    <row r="26" spans="2:12" ht="43.5" customHeight="1" x14ac:dyDescent="0.2">
      <c r="B26" s="169" t="s">
        <v>142</v>
      </c>
      <c r="C26" s="170" t="s">
        <v>264</v>
      </c>
      <c r="D26" s="170" t="s">
        <v>265</v>
      </c>
      <c r="E26" s="171" t="s">
        <v>266</v>
      </c>
      <c r="F26" s="170" t="s">
        <v>267</v>
      </c>
      <c r="G26" s="170" t="s">
        <v>268</v>
      </c>
      <c r="H26" s="171" t="s">
        <v>269</v>
      </c>
      <c r="I26" s="172" t="s">
        <v>270</v>
      </c>
    </row>
    <row r="27" spans="2:12" ht="19.5" customHeight="1" x14ac:dyDescent="0.2">
      <c r="B27" s="173" t="s">
        <v>151</v>
      </c>
      <c r="C27" s="196">
        <f>+$G$23*5%</f>
        <v>0.1</v>
      </c>
      <c r="D27" s="196">
        <v>0.1</v>
      </c>
      <c r="E27" s="192">
        <f>IF(OR(C27=0,C27=""),0,D27/C27)</f>
        <v>1</v>
      </c>
      <c r="F27" s="454">
        <f>SUM(C27:C38)</f>
        <v>2</v>
      </c>
      <c r="G27" s="473">
        <f>SUM(D27:D38)</f>
        <v>1.44</v>
      </c>
      <c r="H27" s="182">
        <f>+(D27*100%)/$G$23</f>
        <v>0.05</v>
      </c>
      <c r="I27" s="476">
        <f>G27+I22</f>
        <v>6.4399999999999995</v>
      </c>
    </row>
    <row r="28" spans="2:12" ht="19.5" customHeight="1" x14ac:dyDescent="0.2">
      <c r="B28" s="173" t="s">
        <v>152</v>
      </c>
      <c r="C28" s="196">
        <f t="shared" ref="C28" si="0">+$G$23*5%</f>
        <v>0.1</v>
      </c>
      <c r="D28" s="202">
        <v>0.1</v>
      </c>
      <c r="E28" s="192">
        <f t="shared" ref="E28:E38" si="1">IF(OR(C28=0,C28=""),0,D28/C28)</f>
        <v>1</v>
      </c>
      <c r="F28" s="455"/>
      <c r="G28" s="474"/>
      <c r="H28" s="182">
        <f>+IF(D28="","",((D28*100%)/$G$23)+H27)</f>
        <v>0.1</v>
      </c>
      <c r="I28" s="477"/>
      <c r="L28" s="3">
        <f>2*10%</f>
        <v>0.2</v>
      </c>
    </row>
    <row r="29" spans="2:12" ht="19.5" customHeight="1" x14ac:dyDescent="0.2">
      <c r="B29" s="173" t="s">
        <v>153</v>
      </c>
      <c r="C29" s="196">
        <f>+$G$23*10%</f>
        <v>0.2</v>
      </c>
      <c r="D29" s="202">
        <v>0.2</v>
      </c>
      <c r="E29" s="192">
        <f t="shared" si="1"/>
        <v>1</v>
      </c>
      <c r="F29" s="455"/>
      <c r="G29" s="474"/>
      <c r="H29" s="182">
        <f t="shared" ref="H29:H38" si="2">+IF(D29="","",((D29*100%)/$G$23)+H28)</f>
        <v>0.2</v>
      </c>
      <c r="I29" s="477"/>
    </row>
    <row r="30" spans="2:12" ht="19.5" customHeight="1" x14ac:dyDescent="0.2">
      <c r="B30" s="173" t="s">
        <v>154</v>
      </c>
      <c r="C30" s="196">
        <f>+$G$23*5%</f>
        <v>0.1</v>
      </c>
      <c r="D30" s="202">
        <v>0.1</v>
      </c>
      <c r="E30" s="192">
        <f t="shared" si="1"/>
        <v>1</v>
      </c>
      <c r="F30" s="455"/>
      <c r="G30" s="474"/>
      <c r="H30" s="182">
        <f t="shared" si="2"/>
        <v>0.25</v>
      </c>
      <c r="I30" s="477"/>
    </row>
    <row r="31" spans="2:12" ht="19.5" customHeight="1" x14ac:dyDescent="0.2">
      <c r="B31" s="173" t="s">
        <v>155</v>
      </c>
      <c r="C31" s="196">
        <f>+$G$23*10%</f>
        <v>0.2</v>
      </c>
      <c r="D31" s="196">
        <v>0.2</v>
      </c>
      <c r="E31" s="192">
        <f t="shared" si="1"/>
        <v>1</v>
      </c>
      <c r="F31" s="455"/>
      <c r="G31" s="474"/>
      <c r="H31" s="182">
        <f t="shared" si="2"/>
        <v>0.35</v>
      </c>
      <c r="I31" s="477"/>
    </row>
    <row r="32" spans="2:12" ht="19.5" customHeight="1" x14ac:dyDescent="0.2">
      <c r="B32" s="173" t="s">
        <v>156</v>
      </c>
      <c r="C32" s="196">
        <f>+$G$23*5%</f>
        <v>0.1</v>
      </c>
      <c r="D32" s="196">
        <v>0.1</v>
      </c>
      <c r="E32" s="192">
        <f t="shared" si="1"/>
        <v>1</v>
      </c>
      <c r="F32" s="455"/>
      <c r="G32" s="474"/>
      <c r="H32" s="182">
        <f t="shared" si="2"/>
        <v>0.39999999999999997</v>
      </c>
      <c r="I32" s="477"/>
    </row>
    <row r="33" spans="2:9" ht="19.5" customHeight="1" x14ac:dyDescent="0.2">
      <c r="B33" s="173" t="s">
        <v>157</v>
      </c>
      <c r="C33" s="202">
        <f>+$G$23*10%</f>
        <v>0.2</v>
      </c>
      <c r="D33" s="196">
        <v>0.2</v>
      </c>
      <c r="E33" s="192">
        <f t="shared" si="1"/>
        <v>1</v>
      </c>
      <c r="F33" s="455"/>
      <c r="G33" s="474"/>
      <c r="H33" s="182">
        <f t="shared" si="2"/>
        <v>0.5</v>
      </c>
      <c r="I33" s="477"/>
    </row>
    <row r="34" spans="2:9" ht="19.5" customHeight="1" x14ac:dyDescent="0.2">
      <c r="B34" s="173" t="s">
        <v>158</v>
      </c>
      <c r="C34" s="196">
        <f>+$G$23*11%</f>
        <v>0.22</v>
      </c>
      <c r="D34" s="196">
        <v>0.22</v>
      </c>
      <c r="E34" s="192">
        <f t="shared" si="1"/>
        <v>1</v>
      </c>
      <c r="F34" s="455"/>
      <c r="G34" s="474"/>
      <c r="H34" s="182">
        <f t="shared" si="2"/>
        <v>0.61</v>
      </c>
      <c r="I34" s="477"/>
    </row>
    <row r="35" spans="2:9" ht="19.5" customHeight="1" x14ac:dyDescent="0.2">
      <c r="B35" s="173" t="s">
        <v>159</v>
      </c>
      <c r="C35" s="196">
        <f>+$G$23*11%</f>
        <v>0.22</v>
      </c>
      <c r="D35" s="196">
        <v>0.22</v>
      </c>
      <c r="E35" s="192">
        <f t="shared" si="1"/>
        <v>1</v>
      </c>
      <c r="F35" s="455"/>
      <c r="G35" s="474"/>
      <c r="H35" s="182">
        <f t="shared" si="2"/>
        <v>0.72</v>
      </c>
      <c r="I35" s="477"/>
    </row>
    <row r="36" spans="2:9" ht="19.5" customHeight="1" x14ac:dyDescent="0.2">
      <c r="B36" s="173" t="s">
        <v>160</v>
      </c>
      <c r="C36" s="196">
        <f>+$G$23*11%</f>
        <v>0.22</v>
      </c>
      <c r="D36" s="196"/>
      <c r="E36" s="192">
        <f t="shared" si="1"/>
        <v>0</v>
      </c>
      <c r="F36" s="455"/>
      <c r="G36" s="474"/>
      <c r="H36" s="182" t="str">
        <f t="shared" si="2"/>
        <v/>
      </c>
      <c r="I36" s="477"/>
    </row>
    <row r="37" spans="2:9" ht="19.5" customHeight="1" x14ac:dyDescent="0.2">
      <c r="B37" s="173" t="s">
        <v>161</v>
      </c>
      <c r="C37" s="196">
        <f>+$G$23*11%</f>
        <v>0.22</v>
      </c>
      <c r="D37" s="196"/>
      <c r="E37" s="192">
        <f t="shared" si="1"/>
        <v>0</v>
      </c>
      <c r="F37" s="455"/>
      <c r="G37" s="474"/>
      <c r="H37" s="182" t="str">
        <f t="shared" si="2"/>
        <v/>
      </c>
      <c r="I37" s="477"/>
    </row>
    <row r="38" spans="2:9" ht="19.5" customHeight="1" x14ac:dyDescent="0.2">
      <c r="B38" s="173" t="s">
        <v>162</v>
      </c>
      <c r="C38" s="196">
        <f>+$G$23*6%</f>
        <v>0.12</v>
      </c>
      <c r="D38" s="196"/>
      <c r="E38" s="192">
        <f t="shared" si="1"/>
        <v>0</v>
      </c>
      <c r="F38" s="456"/>
      <c r="G38" s="475"/>
      <c r="H38" s="182" t="str">
        <f t="shared" si="2"/>
        <v/>
      </c>
      <c r="I38" s="478"/>
    </row>
    <row r="39" spans="2:9" ht="105" customHeight="1" x14ac:dyDescent="0.2">
      <c r="B39" s="174" t="s">
        <v>271</v>
      </c>
      <c r="C39" s="428" t="s">
        <v>384</v>
      </c>
      <c r="D39" s="429"/>
      <c r="E39" s="429"/>
      <c r="F39" s="429"/>
      <c r="G39" s="429"/>
      <c r="H39" s="429"/>
      <c r="I39" s="430"/>
    </row>
    <row r="40" spans="2:9" ht="34.5" customHeight="1" x14ac:dyDescent="0.2">
      <c r="B40" s="422"/>
      <c r="C40" s="315"/>
      <c r="D40" s="315"/>
      <c r="E40" s="315"/>
      <c r="F40" s="315"/>
      <c r="G40" s="315"/>
      <c r="H40" s="315"/>
      <c r="I40" s="423"/>
    </row>
    <row r="41" spans="2:9" ht="34.5" customHeight="1" x14ac:dyDescent="0.2">
      <c r="B41" s="424"/>
      <c r="C41" s="318"/>
      <c r="D41" s="318"/>
      <c r="E41" s="318"/>
      <c r="F41" s="318"/>
      <c r="G41" s="318"/>
      <c r="H41" s="318"/>
      <c r="I41" s="425"/>
    </row>
    <row r="42" spans="2:9" ht="34.5" customHeight="1" x14ac:dyDescent="0.2">
      <c r="B42" s="424"/>
      <c r="C42" s="318"/>
      <c r="D42" s="318"/>
      <c r="E42" s="318"/>
      <c r="F42" s="318"/>
      <c r="G42" s="318"/>
      <c r="H42" s="318"/>
      <c r="I42" s="425"/>
    </row>
    <row r="43" spans="2:9" ht="57" customHeight="1" x14ac:dyDescent="0.2">
      <c r="B43" s="424"/>
      <c r="C43" s="318"/>
      <c r="D43" s="318"/>
      <c r="E43" s="318"/>
      <c r="F43" s="318"/>
      <c r="G43" s="318"/>
      <c r="H43" s="318"/>
      <c r="I43" s="425"/>
    </row>
    <row r="44" spans="2:9" ht="34.5" customHeight="1" x14ac:dyDescent="0.2">
      <c r="B44" s="426"/>
      <c r="C44" s="321"/>
      <c r="D44" s="321"/>
      <c r="E44" s="321"/>
      <c r="F44" s="321"/>
      <c r="G44" s="321"/>
      <c r="H44" s="321"/>
      <c r="I44" s="427"/>
    </row>
    <row r="45" spans="2:9" ht="102.95" customHeight="1" x14ac:dyDescent="0.2">
      <c r="B45" s="164" t="s">
        <v>272</v>
      </c>
      <c r="C45" s="428" t="s">
        <v>383</v>
      </c>
      <c r="D45" s="429"/>
      <c r="E45" s="429"/>
      <c r="F45" s="429"/>
      <c r="G45" s="429"/>
      <c r="H45" s="429"/>
      <c r="I45" s="430"/>
    </row>
    <row r="46" spans="2:9" ht="32.25" customHeight="1" x14ac:dyDescent="0.2">
      <c r="B46" s="164" t="s">
        <v>273</v>
      </c>
      <c r="C46" s="428" t="s">
        <v>300</v>
      </c>
      <c r="D46" s="429"/>
      <c r="E46" s="429"/>
      <c r="F46" s="429"/>
      <c r="G46" s="429"/>
      <c r="H46" s="429"/>
      <c r="I46" s="430"/>
    </row>
    <row r="47" spans="2:9" ht="66" customHeight="1" x14ac:dyDescent="0.2">
      <c r="B47" s="175" t="s">
        <v>274</v>
      </c>
      <c r="C47" s="431" t="s">
        <v>379</v>
      </c>
      <c r="D47" s="479"/>
      <c r="E47" s="479"/>
      <c r="F47" s="479"/>
      <c r="G47" s="479"/>
      <c r="H47" s="479"/>
      <c r="I47" s="480"/>
    </row>
    <row r="48" spans="2:9"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301</v>
      </c>
      <c r="D51" s="421"/>
      <c r="E51" s="421"/>
      <c r="F51" s="421"/>
      <c r="G51" s="421"/>
      <c r="H51" s="421"/>
      <c r="I51" s="421"/>
    </row>
    <row r="52" spans="2:9" ht="28.5" customHeight="1" x14ac:dyDescent="0.2">
      <c r="B52" s="167" t="s">
        <v>283</v>
      </c>
      <c r="C52" s="435" t="s">
        <v>302</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E47" zoomScale="110" zoomScaleNormal="110" zoomScaleSheetLayoutView="80" workbookViewId="0">
      <selection activeCell="C53" sqref="C53:I53"/>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3</v>
      </c>
      <c r="D6" s="472" t="s">
        <v>215</v>
      </c>
      <c r="E6" s="472"/>
      <c r="F6" s="457" t="s">
        <v>303</v>
      </c>
      <c r="G6" s="457"/>
      <c r="H6" s="457"/>
      <c r="I6" s="457"/>
    </row>
    <row r="7" spans="2:9" ht="30.75" customHeight="1" x14ac:dyDescent="0.2">
      <c r="B7" s="164" t="s">
        <v>217</v>
      </c>
      <c r="C7" s="179" t="s">
        <v>96</v>
      </c>
      <c r="D7" s="472" t="s">
        <v>218</v>
      </c>
      <c r="E7" s="472"/>
      <c r="F7" s="457" t="s">
        <v>219</v>
      </c>
      <c r="G7" s="457"/>
      <c r="H7" s="167" t="s">
        <v>220</v>
      </c>
      <c r="I7" s="179" t="s">
        <v>96</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304</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305</v>
      </c>
      <c r="D14" s="353"/>
      <c r="E14" s="353"/>
      <c r="F14" s="353"/>
      <c r="G14" s="353"/>
      <c r="H14" s="353"/>
      <c r="I14" s="353"/>
    </row>
    <row r="15" spans="2:9" ht="30.75" customHeight="1" x14ac:dyDescent="0.2">
      <c r="B15" s="164" t="s">
        <v>238</v>
      </c>
      <c r="C15" s="347" t="s">
        <v>291</v>
      </c>
      <c r="D15" s="347"/>
      <c r="E15" s="347"/>
      <c r="F15" s="347"/>
      <c r="G15" s="347"/>
      <c r="H15" s="347"/>
      <c r="I15" s="347"/>
    </row>
    <row r="16" spans="2:9" ht="20.25" customHeight="1" x14ac:dyDescent="0.2">
      <c r="B16" s="164" t="s">
        <v>240</v>
      </c>
      <c r="C16" s="457" t="s">
        <v>306</v>
      </c>
      <c r="D16" s="457"/>
      <c r="E16" s="457"/>
      <c r="F16" s="457"/>
      <c r="G16" s="457"/>
      <c r="H16" s="457"/>
      <c r="I16" s="457"/>
    </row>
    <row r="17" spans="2:11" ht="30.75" customHeight="1" x14ac:dyDescent="0.2">
      <c r="B17" s="164" t="s">
        <v>242</v>
      </c>
      <c r="C17" s="458" t="s">
        <v>307</v>
      </c>
      <c r="D17" s="459"/>
      <c r="E17" s="459"/>
      <c r="F17" s="459"/>
      <c r="G17" s="459"/>
      <c r="H17" s="459"/>
      <c r="I17" s="459"/>
    </row>
    <row r="18" spans="2:11" ht="18" customHeight="1" x14ac:dyDescent="0.2">
      <c r="B18" s="460" t="s">
        <v>244</v>
      </c>
      <c r="C18" s="461" t="s">
        <v>245</v>
      </c>
      <c r="D18" s="461"/>
      <c r="E18" s="461"/>
      <c r="F18" s="462" t="s">
        <v>246</v>
      </c>
      <c r="G18" s="462"/>
      <c r="H18" s="462"/>
      <c r="I18" s="462"/>
    </row>
    <row r="19" spans="2:11" ht="39.75" customHeight="1" x14ac:dyDescent="0.2">
      <c r="B19" s="460"/>
      <c r="C19" s="457" t="s">
        <v>308</v>
      </c>
      <c r="D19" s="457"/>
      <c r="E19" s="457"/>
      <c r="F19" s="457" t="s">
        <v>309</v>
      </c>
      <c r="G19" s="457"/>
      <c r="H19" s="457"/>
      <c r="I19" s="457"/>
    </row>
    <row r="20" spans="2:11" ht="39.75" customHeight="1" x14ac:dyDescent="0.2">
      <c r="B20" s="165" t="s">
        <v>249</v>
      </c>
      <c r="C20" s="435" t="s">
        <v>310</v>
      </c>
      <c r="D20" s="436"/>
      <c r="E20" s="437"/>
      <c r="F20" s="349" t="s">
        <v>311</v>
      </c>
      <c r="G20" s="349"/>
      <c r="H20" s="349"/>
      <c r="I20" s="350"/>
    </row>
    <row r="21" spans="2:11" ht="59.45" customHeight="1" x14ac:dyDescent="0.2">
      <c r="B21" s="165" t="s">
        <v>252</v>
      </c>
      <c r="C21" s="438" t="s">
        <v>312</v>
      </c>
      <c r="D21" s="439"/>
      <c r="E21" s="440"/>
      <c r="F21" s="441" t="s">
        <v>313</v>
      </c>
      <c r="G21" s="442"/>
      <c r="H21" s="442"/>
      <c r="I21" s="443"/>
    </row>
    <row r="22" spans="2:11" ht="23.25" customHeight="1" x14ac:dyDescent="0.2">
      <c r="B22" s="165" t="s">
        <v>255</v>
      </c>
      <c r="C22" s="444">
        <v>44927</v>
      </c>
      <c r="D22" s="445"/>
      <c r="E22" s="446"/>
      <c r="F22" s="167" t="s">
        <v>256</v>
      </c>
      <c r="G22" s="197">
        <v>25000</v>
      </c>
      <c r="H22" s="167" t="s">
        <v>257</v>
      </c>
      <c r="I22" s="198">
        <f>1359+19566+25000</f>
        <v>45925</v>
      </c>
      <c r="J22" s="189"/>
    </row>
    <row r="23" spans="2:11" ht="27" customHeight="1" x14ac:dyDescent="0.2">
      <c r="B23" s="165" t="s">
        <v>258</v>
      </c>
      <c r="C23" s="444">
        <v>45291</v>
      </c>
      <c r="D23" s="327"/>
      <c r="E23" s="447"/>
      <c r="F23" s="167" t="s">
        <v>259</v>
      </c>
      <c r="G23" s="481">
        <f>+F27</f>
        <v>2100</v>
      </c>
      <c r="H23" s="482"/>
      <c r="I23" s="483"/>
    </row>
    <row r="24" spans="2:11" ht="36" customHeight="1" x14ac:dyDescent="0.2">
      <c r="B24" s="166" t="s">
        <v>260</v>
      </c>
      <c r="C24" s="339" t="s">
        <v>112</v>
      </c>
      <c r="D24" s="340"/>
      <c r="E24" s="341"/>
      <c r="F24" s="180" t="s">
        <v>261</v>
      </c>
      <c r="G24" s="441" t="s">
        <v>262</v>
      </c>
      <c r="H24" s="442"/>
      <c r="I24" s="451"/>
    </row>
    <row r="25" spans="2:11" ht="22.5" customHeight="1" x14ac:dyDescent="0.2">
      <c r="B25" s="452" t="s">
        <v>263</v>
      </c>
      <c r="C25" s="434"/>
      <c r="D25" s="434"/>
      <c r="E25" s="434"/>
      <c r="F25" s="434"/>
      <c r="G25" s="434"/>
      <c r="H25" s="434"/>
      <c r="I25" s="453"/>
    </row>
    <row r="26" spans="2:11" ht="43.5" customHeight="1" x14ac:dyDescent="0.2">
      <c r="B26" s="169" t="s">
        <v>142</v>
      </c>
      <c r="C26" s="170" t="s">
        <v>264</v>
      </c>
      <c r="D26" s="170" t="s">
        <v>265</v>
      </c>
      <c r="E26" s="171" t="s">
        <v>266</v>
      </c>
      <c r="F26" s="170" t="s">
        <v>267</v>
      </c>
      <c r="G26" s="170" t="s">
        <v>268</v>
      </c>
      <c r="H26" s="171" t="s">
        <v>269</v>
      </c>
      <c r="I26" s="172" t="s">
        <v>270</v>
      </c>
    </row>
    <row r="27" spans="2:11" ht="19.5" customHeight="1" x14ac:dyDescent="0.2">
      <c r="B27" s="173" t="s">
        <v>151</v>
      </c>
      <c r="C27" s="200">
        <v>50</v>
      </c>
      <c r="D27" s="187">
        <v>165</v>
      </c>
      <c r="E27" s="183">
        <f>IF(OR(C27=0,C27=""),0,D27/C27)</f>
        <v>3.3</v>
      </c>
      <c r="F27" s="454">
        <f>SUM(C27:C38)</f>
        <v>2100</v>
      </c>
      <c r="G27" s="454">
        <f>SUM(D27:D38)</f>
        <v>1865</v>
      </c>
      <c r="H27" s="182">
        <f>+(D27*100%)/$G$23</f>
        <v>7.857142857142857E-2</v>
      </c>
      <c r="I27" s="454">
        <f>G27+I22</f>
        <v>47790</v>
      </c>
    </row>
    <row r="28" spans="2:11" ht="19.5" customHeight="1" x14ac:dyDescent="0.2">
      <c r="B28" s="173" t="s">
        <v>152</v>
      </c>
      <c r="C28" s="200">
        <v>200</v>
      </c>
      <c r="D28" s="187">
        <v>200</v>
      </c>
      <c r="E28" s="183">
        <f t="shared" ref="E28:E38" si="0">IF(OR(C28=0,C28=""),0,D28/C28)</f>
        <v>1</v>
      </c>
      <c r="F28" s="455"/>
      <c r="G28" s="455"/>
      <c r="H28" s="182">
        <f>+IF(D28="","",((D28*100%)/$G$23)+H27)</f>
        <v>0.1738095238095238</v>
      </c>
      <c r="I28" s="455"/>
    </row>
    <row r="29" spans="2:11" ht="19.5" customHeight="1" x14ac:dyDescent="0.2">
      <c r="B29" s="173" t="s">
        <v>153</v>
      </c>
      <c r="C29" s="200">
        <v>200</v>
      </c>
      <c r="D29" s="187">
        <v>200</v>
      </c>
      <c r="E29" s="183">
        <f t="shared" si="0"/>
        <v>1</v>
      </c>
      <c r="F29" s="455"/>
      <c r="G29" s="455"/>
      <c r="H29" s="182">
        <f t="shared" ref="H29:H38" si="1">+IF(D29="","",((D29*100%)/$G$23)+H28)</f>
        <v>0.26904761904761904</v>
      </c>
      <c r="I29" s="455"/>
    </row>
    <row r="30" spans="2:11" ht="19.5" customHeight="1" x14ac:dyDescent="0.2">
      <c r="B30" s="173" t="s">
        <v>154</v>
      </c>
      <c r="C30" s="200">
        <v>200</v>
      </c>
      <c r="D30" s="187">
        <v>200</v>
      </c>
      <c r="E30" s="183">
        <f t="shared" si="0"/>
        <v>1</v>
      </c>
      <c r="F30" s="455"/>
      <c r="G30" s="455"/>
      <c r="H30" s="182">
        <f t="shared" si="1"/>
        <v>0.36428571428571427</v>
      </c>
      <c r="I30" s="455"/>
    </row>
    <row r="31" spans="2:11" ht="19.5" customHeight="1" x14ac:dyDescent="0.2">
      <c r="B31" s="173" t="s">
        <v>155</v>
      </c>
      <c r="C31" s="200">
        <v>200</v>
      </c>
      <c r="D31" s="184">
        <v>200</v>
      </c>
      <c r="E31" s="212">
        <f t="shared" si="0"/>
        <v>1</v>
      </c>
      <c r="F31" s="455"/>
      <c r="G31" s="455"/>
      <c r="H31" s="182">
        <f t="shared" si="1"/>
        <v>0.4595238095238095</v>
      </c>
      <c r="I31" s="455"/>
      <c r="K31" s="211"/>
    </row>
    <row r="32" spans="2:11" ht="19.5" customHeight="1" x14ac:dyDescent="0.2">
      <c r="B32" s="173" t="s">
        <v>156</v>
      </c>
      <c r="C32" s="200">
        <v>250</v>
      </c>
      <c r="D32" s="184">
        <v>250</v>
      </c>
      <c r="E32" s="183">
        <f t="shared" si="0"/>
        <v>1</v>
      </c>
      <c r="F32" s="455"/>
      <c r="G32" s="455"/>
      <c r="H32" s="182">
        <f t="shared" si="1"/>
        <v>0.57857142857142851</v>
      </c>
      <c r="I32" s="455"/>
    </row>
    <row r="33" spans="2:12" ht="19.5" customHeight="1" x14ac:dyDescent="0.2">
      <c r="B33" s="173" t="s">
        <v>157</v>
      </c>
      <c r="C33" s="200">
        <v>250</v>
      </c>
      <c r="D33" s="184">
        <v>250</v>
      </c>
      <c r="E33" s="183">
        <f t="shared" si="0"/>
        <v>1</v>
      </c>
      <c r="F33" s="455"/>
      <c r="G33" s="455"/>
      <c r="H33" s="182">
        <f t="shared" si="1"/>
        <v>0.69761904761904758</v>
      </c>
      <c r="I33" s="455"/>
    </row>
    <row r="34" spans="2:12" ht="19.5" customHeight="1" x14ac:dyDescent="0.2">
      <c r="B34" s="173" t="s">
        <v>158</v>
      </c>
      <c r="C34" s="200">
        <v>250</v>
      </c>
      <c r="D34" s="184">
        <v>250</v>
      </c>
      <c r="E34" s="183">
        <f t="shared" si="0"/>
        <v>1</v>
      </c>
      <c r="F34" s="455"/>
      <c r="G34" s="455"/>
      <c r="H34" s="182">
        <f t="shared" si="1"/>
        <v>0.81666666666666665</v>
      </c>
      <c r="I34" s="455"/>
    </row>
    <row r="35" spans="2:12" ht="19.5" customHeight="1" x14ac:dyDescent="0.2">
      <c r="B35" s="173" t="s">
        <v>159</v>
      </c>
      <c r="C35" s="200">
        <v>150</v>
      </c>
      <c r="D35" s="184">
        <v>150</v>
      </c>
      <c r="E35" s="183">
        <f t="shared" si="0"/>
        <v>1</v>
      </c>
      <c r="F35" s="455"/>
      <c r="G35" s="455"/>
      <c r="H35" s="182">
        <f t="shared" si="1"/>
        <v>0.88809523809523805</v>
      </c>
      <c r="I35" s="455"/>
    </row>
    <row r="36" spans="2:12" ht="19.5" customHeight="1" x14ac:dyDescent="0.2">
      <c r="B36" s="173" t="s">
        <v>160</v>
      </c>
      <c r="C36" s="200">
        <v>150</v>
      </c>
      <c r="D36" s="184"/>
      <c r="E36" s="183">
        <f t="shared" si="0"/>
        <v>0</v>
      </c>
      <c r="F36" s="455"/>
      <c r="G36" s="455"/>
      <c r="H36" s="182" t="str">
        <f t="shared" si="1"/>
        <v/>
      </c>
      <c r="I36" s="455"/>
    </row>
    <row r="37" spans="2:12" ht="19.5" customHeight="1" x14ac:dyDescent="0.25">
      <c r="B37" s="173" t="s">
        <v>161</v>
      </c>
      <c r="C37" s="200">
        <v>100</v>
      </c>
      <c r="D37" s="184"/>
      <c r="E37" s="183">
        <f t="shared" si="0"/>
        <v>0</v>
      </c>
      <c r="F37" s="455"/>
      <c r="G37" s="455"/>
      <c r="H37" s="182" t="str">
        <f t="shared" si="1"/>
        <v/>
      </c>
      <c r="I37" s="455"/>
      <c r="J37"/>
      <c r="K37"/>
      <c r="L37"/>
    </row>
    <row r="38" spans="2:12" ht="19.5" customHeight="1" x14ac:dyDescent="0.2">
      <c r="B38" s="173" t="s">
        <v>162</v>
      </c>
      <c r="C38" s="200">
        <v>100</v>
      </c>
      <c r="D38" s="184"/>
      <c r="E38" s="183">
        <f t="shared" si="0"/>
        <v>0</v>
      </c>
      <c r="F38" s="456"/>
      <c r="G38" s="456"/>
      <c r="H38" s="182" t="str">
        <f t="shared" si="1"/>
        <v/>
      </c>
      <c r="I38" s="456"/>
    </row>
    <row r="39" spans="2:12" ht="107.1" customHeight="1" x14ac:dyDescent="0.2">
      <c r="B39" s="174" t="s">
        <v>271</v>
      </c>
      <c r="C39" s="428" t="s">
        <v>391</v>
      </c>
      <c r="D39" s="429"/>
      <c r="E39" s="429"/>
      <c r="F39" s="429"/>
      <c r="G39" s="429"/>
      <c r="H39" s="429"/>
      <c r="I39" s="430"/>
      <c r="J39" s="209"/>
      <c r="K39" s="210"/>
    </row>
    <row r="40" spans="2:12" ht="54.75" customHeight="1" x14ac:dyDescent="0.2">
      <c r="B40" s="422"/>
      <c r="C40" s="315"/>
      <c r="D40" s="315"/>
      <c r="E40" s="315"/>
      <c r="F40" s="315"/>
      <c r="G40" s="315"/>
      <c r="H40" s="315"/>
      <c r="I40" s="423"/>
    </row>
    <row r="41" spans="2:12" ht="34.5" customHeight="1" x14ac:dyDescent="0.2">
      <c r="B41" s="424"/>
      <c r="C41" s="318"/>
      <c r="D41" s="318"/>
      <c r="E41" s="318"/>
      <c r="F41" s="318"/>
      <c r="G41" s="318"/>
      <c r="H41" s="318"/>
      <c r="I41" s="425"/>
    </row>
    <row r="42" spans="2:12" ht="49.5" customHeight="1" x14ac:dyDescent="0.2">
      <c r="B42" s="424"/>
      <c r="C42" s="318"/>
      <c r="D42" s="318"/>
      <c r="E42" s="318"/>
      <c r="F42" s="318"/>
      <c r="G42" s="318"/>
      <c r="H42" s="318"/>
      <c r="I42" s="425"/>
    </row>
    <row r="43" spans="2:12" ht="45.75" customHeight="1" x14ac:dyDescent="0.2">
      <c r="B43" s="424"/>
      <c r="C43" s="318"/>
      <c r="D43" s="318"/>
      <c r="E43" s="318"/>
      <c r="F43" s="318"/>
      <c r="G43" s="318"/>
      <c r="H43" s="318"/>
      <c r="I43" s="425"/>
    </row>
    <row r="44" spans="2:12" ht="5.25" customHeight="1" x14ac:dyDescent="0.2">
      <c r="B44" s="426"/>
      <c r="C44" s="321"/>
      <c r="D44" s="321"/>
      <c r="E44" s="321"/>
      <c r="F44" s="321"/>
      <c r="G44" s="321"/>
      <c r="H44" s="321"/>
      <c r="I44" s="427"/>
    </row>
    <row r="45" spans="2:12" ht="168" customHeight="1" x14ac:dyDescent="0.2">
      <c r="B45" s="164" t="s">
        <v>272</v>
      </c>
      <c r="C45" s="428" t="s">
        <v>385</v>
      </c>
      <c r="D45" s="429"/>
      <c r="E45" s="429"/>
      <c r="F45" s="429"/>
      <c r="G45" s="429"/>
      <c r="H45" s="429"/>
      <c r="I45" s="430"/>
    </row>
    <row r="46" spans="2:12" ht="32.25" customHeight="1" x14ac:dyDescent="0.2">
      <c r="B46" s="164" t="s">
        <v>273</v>
      </c>
      <c r="C46" s="428" t="s">
        <v>314</v>
      </c>
      <c r="D46" s="429"/>
      <c r="E46" s="429"/>
      <c r="F46" s="429"/>
      <c r="G46" s="429"/>
      <c r="H46" s="429"/>
      <c r="I46" s="430"/>
    </row>
    <row r="47" spans="2:12" ht="41.25" customHeight="1" x14ac:dyDescent="0.2">
      <c r="B47" s="175" t="s">
        <v>274</v>
      </c>
      <c r="C47" s="431" t="s">
        <v>315</v>
      </c>
      <c r="D47" s="432"/>
      <c r="E47" s="432"/>
      <c r="F47" s="432"/>
      <c r="G47" s="432"/>
      <c r="H47" s="432"/>
      <c r="I47" s="433"/>
    </row>
    <row r="48" spans="2:12"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301</v>
      </c>
      <c r="D51" s="421"/>
      <c r="E51" s="421"/>
      <c r="F51" s="421"/>
      <c r="G51" s="421"/>
      <c r="H51" s="421"/>
      <c r="I51" s="421"/>
    </row>
    <row r="52" spans="2:9" ht="28.5" customHeight="1" x14ac:dyDescent="0.2">
      <c r="B52" s="167" t="s">
        <v>283</v>
      </c>
      <c r="C52" s="435" t="s">
        <v>302</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topLeftCell="B27" zoomScale="110" zoomScaleNormal="110" workbookViewId="0">
      <selection activeCell="D35" sqref="D3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7" width="11.42578125" style="3"/>
    <col min="18"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4</v>
      </c>
      <c r="D6" s="472" t="s">
        <v>215</v>
      </c>
      <c r="E6" s="472"/>
      <c r="F6" s="457" t="s">
        <v>316</v>
      </c>
      <c r="G6" s="457"/>
      <c r="H6" s="457"/>
      <c r="I6" s="457"/>
    </row>
    <row r="7" spans="2:9" ht="30.75" customHeight="1" x14ac:dyDescent="0.2">
      <c r="B7" s="164" t="s">
        <v>217</v>
      </c>
      <c r="C7" s="179" t="s">
        <v>96</v>
      </c>
      <c r="D7" s="472" t="s">
        <v>218</v>
      </c>
      <c r="E7" s="472"/>
      <c r="F7" s="457" t="s">
        <v>219</v>
      </c>
      <c r="G7" s="457"/>
      <c r="H7" s="167" t="s">
        <v>220</v>
      </c>
      <c r="I7" s="179" t="s">
        <v>96</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317</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318</v>
      </c>
      <c r="D14" s="353"/>
      <c r="E14" s="353"/>
      <c r="F14" s="353"/>
      <c r="G14" s="353"/>
      <c r="H14" s="353"/>
      <c r="I14" s="353"/>
    </row>
    <row r="15" spans="2:9" ht="30.75" customHeight="1" x14ac:dyDescent="0.2">
      <c r="B15" s="164" t="s">
        <v>238</v>
      </c>
      <c r="C15" s="347" t="s">
        <v>319</v>
      </c>
      <c r="D15" s="347"/>
      <c r="E15" s="347"/>
      <c r="F15" s="347"/>
      <c r="G15" s="347"/>
      <c r="H15" s="347"/>
      <c r="I15" s="347"/>
    </row>
    <row r="16" spans="2:9" ht="20.25" customHeight="1" x14ac:dyDescent="0.2">
      <c r="B16" s="164" t="s">
        <v>240</v>
      </c>
      <c r="C16" s="457" t="s">
        <v>320</v>
      </c>
      <c r="D16" s="457"/>
      <c r="E16" s="457"/>
      <c r="F16" s="457"/>
      <c r="G16" s="457"/>
      <c r="H16" s="457"/>
      <c r="I16" s="457"/>
    </row>
    <row r="17" spans="2:9" ht="30.75" customHeight="1" x14ac:dyDescent="0.2">
      <c r="B17" s="164" t="s">
        <v>242</v>
      </c>
      <c r="C17" s="458" t="s">
        <v>307</v>
      </c>
      <c r="D17" s="459"/>
      <c r="E17" s="459"/>
      <c r="F17" s="459"/>
      <c r="G17" s="459"/>
      <c r="H17" s="459"/>
      <c r="I17" s="459"/>
    </row>
    <row r="18" spans="2:9" ht="18" customHeight="1" x14ac:dyDescent="0.2">
      <c r="B18" s="460" t="s">
        <v>244</v>
      </c>
      <c r="C18" s="461" t="s">
        <v>245</v>
      </c>
      <c r="D18" s="461"/>
      <c r="E18" s="461"/>
      <c r="F18" s="462" t="s">
        <v>246</v>
      </c>
      <c r="G18" s="462"/>
      <c r="H18" s="462"/>
      <c r="I18" s="462"/>
    </row>
    <row r="19" spans="2:9" ht="39.75" customHeight="1" x14ac:dyDescent="0.2">
      <c r="B19" s="460"/>
      <c r="C19" s="457" t="s">
        <v>321</v>
      </c>
      <c r="D19" s="457"/>
      <c r="E19" s="457"/>
      <c r="F19" s="457" t="s">
        <v>322</v>
      </c>
      <c r="G19" s="457"/>
      <c r="H19" s="457"/>
      <c r="I19" s="457"/>
    </row>
    <row r="20" spans="2:9" ht="39.75" customHeight="1" x14ac:dyDescent="0.2">
      <c r="B20" s="165" t="s">
        <v>249</v>
      </c>
      <c r="C20" s="435" t="s">
        <v>310</v>
      </c>
      <c r="D20" s="436"/>
      <c r="E20" s="437"/>
      <c r="F20" s="349" t="s">
        <v>311</v>
      </c>
      <c r="G20" s="349"/>
      <c r="H20" s="349"/>
      <c r="I20" s="350"/>
    </row>
    <row r="21" spans="2:9" ht="42" customHeight="1" x14ac:dyDescent="0.2">
      <c r="B21" s="165" t="s">
        <v>252</v>
      </c>
      <c r="C21" s="438" t="s">
        <v>323</v>
      </c>
      <c r="D21" s="439"/>
      <c r="E21" s="440"/>
      <c r="F21" s="441" t="s">
        <v>324</v>
      </c>
      <c r="G21" s="442"/>
      <c r="H21" s="442"/>
      <c r="I21" s="443"/>
    </row>
    <row r="22" spans="2:9" ht="23.25" customHeight="1" x14ac:dyDescent="0.2">
      <c r="B22" s="165" t="s">
        <v>255</v>
      </c>
      <c r="C22" s="444">
        <v>44927</v>
      </c>
      <c r="D22" s="445"/>
      <c r="E22" s="446"/>
      <c r="F22" s="167" t="s">
        <v>256</v>
      </c>
      <c r="G22" s="198">
        <v>4000</v>
      </c>
      <c r="H22" s="167" t="s">
        <v>257</v>
      </c>
      <c r="I22" s="198">
        <f>404+2800+4000</f>
        <v>7204</v>
      </c>
    </row>
    <row r="23" spans="2:9" ht="27" customHeight="1" x14ac:dyDescent="0.2">
      <c r="B23" s="165" t="s">
        <v>258</v>
      </c>
      <c r="C23" s="444">
        <v>45291</v>
      </c>
      <c r="D23" s="327"/>
      <c r="E23" s="447"/>
      <c r="F23" s="167" t="s">
        <v>259</v>
      </c>
      <c r="G23" s="481">
        <f>+F27</f>
        <v>1700</v>
      </c>
      <c r="H23" s="482"/>
      <c r="I23" s="483"/>
    </row>
    <row r="24" spans="2:9" ht="36" customHeight="1" x14ac:dyDescent="0.2">
      <c r="B24" s="166" t="s">
        <v>260</v>
      </c>
      <c r="C24" s="339" t="s">
        <v>112</v>
      </c>
      <c r="D24" s="340"/>
      <c r="E24" s="341"/>
      <c r="F24" s="181" t="s">
        <v>261</v>
      </c>
      <c r="G24" s="441" t="s">
        <v>262</v>
      </c>
      <c r="H24" s="442"/>
      <c r="I24" s="451"/>
    </row>
    <row r="25" spans="2:9" ht="22.5" customHeight="1" x14ac:dyDescent="0.2">
      <c r="B25" s="452" t="s">
        <v>263</v>
      </c>
      <c r="C25" s="434"/>
      <c r="D25" s="434"/>
      <c r="E25" s="434"/>
      <c r="F25" s="434"/>
      <c r="G25" s="434"/>
      <c r="H25" s="434"/>
      <c r="I25" s="453"/>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9">
        <v>0</v>
      </c>
      <c r="D27" s="188">
        <v>8</v>
      </c>
      <c r="E27" s="192">
        <f>IF(OR(C27=0,C27=""),0,D27/C27)</f>
        <v>0</v>
      </c>
      <c r="F27" s="454">
        <f>SUM(C27:C38)</f>
        <v>1700</v>
      </c>
      <c r="G27" s="454">
        <f>SUM(D27:D38)</f>
        <v>1612</v>
      </c>
      <c r="H27" s="185">
        <f>+(D27*100%)/$G$23</f>
        <v>4.7058823529411761E-3</v>
      </c>
      <c r="I27" s="454">
        <f>G27+I22</f>
        <v>8816</v>
      </c>
    </row>
    <row r="28" spans="2:9" ht="19.5" customHeight="1" x14ac:dyDescent="0.2">
      <c r="B28" s="173" t="s">
        <v>152</v>
      </c>
      <c r="C28" s="199">
        <v>50</v>
      </c>
      <c r="D28" s="188">
        <v>69</v>
      </c>
      <c r="E28" s="192">
        <f t="shared" ref="E28:E38" si="0">IF(OR(C28=0,C28=""),0,D28/C28)</f>
        <v>1.38</v>
      </c>
      <c r="F28" s="455"/>
      <c r="G28" s="455"/>
      <c r="H28" s="185">
        <f t="shared" ref="H28:H38" si="1">+(D28*100%)/$G$23</f>
        <v>4.0588235294117647E-2</v>
      </c>
      <c r="I28" s="455"/>
    </row>
    <row r="29" spans="2:9" ht="19.5" customHeight="1" x14ac:dyDescent="0.2">
      <c r="B29" s="173" t="s">
        <v>153</v>
      </c>
      <c r="C29" s="199">
        <v>70</v>
      </c>
      <c r="D29" s="188">
        <v>159</v>
      </c>
      <c r="E29" s="192">
        <f t="shared" si="0"/>
        <v>2.2714285714285714</v>
      </c>
      <c r="F29" s="455"/>
      <c r="G29" s="455"/>
      <c r="H29" s="207">
        <f>+(D29*100%)/$G$23+H28+H27</f>
        <v>0.13882352941176471</v>
      </c>
      <c r="I29" s="455"/>
    </row>
    <row r="30" spans="2:9" ht="19.5" customHeight="1" x14ac:dyDescent="0.2">
      <c r="B30" s="173" t="s">
        <v>154</v>
      </c>
      <c r="C30" s="199">
        <v>250</v>
      </c>
      <c r="D30" s="208">
        <v>171</v>
      </c>
      <c r="E30" s="192">
        <f t="shared" si="0"/>
        <v>0.68400000000000005</v>
      </c>
      <c r="F30" s="455"/>
      <c r="G30" s="455"/>
      <c r="H30" s="185">
        <f t="shared" ref="H30:H35" si="2">+(D30*100%)/$G$23+H29</f>
        <v>0.23941176470588235</v>
      </c>
      <c r="I30" s="455"/>
    </row>
    <row r="31" spans="2:9" ht="19.5" customHeight="1" x14ac:dyDescent="0.2">
      <c r="B31" s="173" t="s">
        <v>155</v>
      </c>
      <c r="C31" s="199">
        <v>250</v>
      </c>
      <c r="D31" s="186">
        <v>257</v>
      </c>
      <c r="E31" s="192">
        <f t="shared" si="0"/>
        <v>1.028</v>
      </c>
      <c r="F31" s="455"/>
      <c r="G31" s="455"/>
      <c r="H31" s="185">
        <f t="shared" si="2"/>
        <v>0.39058823529411768</v>
      </c>
      <c r="I31" s="455"/>
    </row>
    <row r="32" spans="2:9" ht="19.5" customHeight="1" x14ac:dyDescent="0.2">
      <c r="B32" s="173" t="s">
        <v>156</v>
      </c>
      <c r="C32" s="199">
        <v>250</v>
      </c>
      <c r="D32" s="186">
        <v>267</v>
      </c>
      <c r="E32" s="192">
        <f t="shared" si="0"/>
        <v>1.0680000000000001</v>
      </c>
      <c r="F32" s="455"/>
      <c r="G32" s="455"/>
      <c r="H32" s="185">
        <f t="shared" si="2"/>
        <v>0.54764705882352949</v>
      </c>
      <c r="I32" s="455"/>
    </row>
    <row r="33" spans="2:17" ht="19.5" customHeight="1" x14ac:dyDescent="0.2">
      <c r="B33" s="173" t="s">
        <v>157</v>
      </c>
      <c r="C33" s="199">
        <v>200</v>
      </c>
      <c r="D33" s="186">
        <v>214</v>
      </c>
      <c r="E33" s="192">
        <f t="shared" si="0"/>
        <v>1.07</v>
      </c>
      <c r="F33" s="455"/>
      <c r="G33" s="455"/>
      <c r="H33" s="185">
        <f t="shared" si="2"/>
        <v>0.67352941176470593</v>
      </c>
      <c r="I33" s="455"/>
    </row>
    <row r="34" spans="2:17" ht="19.5" customHeight="1" x14ac:dyDescent="0.2">
      <c r="B34" s="173" t="s">
        <v>158</v>
      </c>
      <c r="C34" s="199">
        <v>200</v>
      </c>
      <c r="D34" s="186">
        <v>242</v>
      </c>
      <c r="E34" s="192">
        <f t="shared" si="0"/>
        <v>1.21</v>
      </c>
      <c r="F34" s="455"/>
      <c r="G34" s="455"/>
      <c r="H34" s="185">
        <f t="shared" si="2"/>
        <v>0.8158823529411765</v>
      </c>
      <c r="I34" s="455"/>
    </row>
    <row r="35" spans="2:17" ht="19.5" customHeight="1" x14ac:dyDescent="0.2">
      <c r="B35" s="173" t="s">
        <v>159</v>
      </c>
      <c r="C35" s="199">
        <v>150</v>
      </c>
      <c r="D35" s="186">
        <v>225</v>
      </c>
      <c r="E35" s="192">
        <f t="shared" si="0"/>
        <v>1.5</v>
      </c>
      <c r="F35" s="455"/>
      <c r="G35" s="455"/>
      <c r="H35" s="185">
        <f t="shared" si="2"/>
        <v>0.94823529411764707</v>
      </c>
      <c r="I35" s="455"/>
    </row>
    <row r="36" spans="2:17" ht="19.5" customHeight="1" x14ac:dyDescent="0.2">
      <c r="B36" s="173" t="s">
        <v>160</v>
      </c>
      <c r="C36" s="199">
        <v>150</v>
      </c>
      <c r="D36" s="186"/>
      <c r="E36" s="192">
        <f t="shared" si="0"/>
        <v>0</v>
      </c>
      <c r="F36" s="455"/>
      <c r="G36" s="455"/>
      <c r="H36" s="185">
        <f t="shared" si="1"/>
        <v>0</v>
      </c>
      <c r="I36" s="455"/>
    </row>
    <row r="37" spans="2:17" ht="19.5" customHeight="1" x14ac:dyDescent="0.2">
      <c r="B37" s="173" t="s">
        <v>161</v>
      </c>
      <c r="C37" s="199">
        <v>100</v>
      </c>
      <c r="D37" s="186"/>
      <c r="E37" s="192">
        <f t="shared" si="0"/>
        <v>0</v>
      </c>
      <c r="F37" s="455"/>
      <c r="G37" s="455"/>
      <c r="H37" s="185">
        <f t="shared" si="1"/>
        <v>0</v>
      </c>
      <c r="I37" s="455"/>
    </row>
    <row r="38" spans="2:17" ht="19.5" customHeight="1" x14ac:dyDescent="0.2">
      <c r="B38" s="173" t="s">
        <v>162</v>
      </c>
      <c r="C38" s="199">
        <v>30</v>
      </c>
      <c r="D38" s="186"/>
      <c r="E38" s="192">
        <f t="shared" si="0"/>
        <v>0</v>
      </c>
      <c r="F38" s="456"/>
      <c r="G38" s="456"/>
      <c r="H38" s="185">
        <f t="shared" si="1"/>
        <v>0</v>
      </c>
      <c r="I38" s="456"/>
    </row>
    <row r="39" spans="2:17" ht="177.75" customHeight="1" x14ac:dyDescent="0.2">
      <c r="B39" s="174" t="s">
        <v>271</v>
      </c>
      <c r="C39" s="484" t="s">
        <v>386</v>
      </c>
      <c r="D39" s="429"/>
      <c r="E39" s="429"/>
      <c r="F39" s="429"/>
      <c r="G39" s="429"/>
      <c r="H39" s="429"/>
      <c r="I39" s="430"/>
    </row>
    <row r="40" spans="2:17" ht="34.5" customHeight="1" x14ac:dyDescent="0.2">
      <c r="B40" s="422"/>
      <c r="C40" s="315"/>
      <c r="D40" s="315"/>
      <c r="E40" s="315"/>
      <c r="F40" s="315"/>
      <c r="G40" s="315"/>
      <c r="H40" s="315"/>
      <c r="I40" s="423"/>
    </row>
    <row r="41" spans="2:17" ht="34.5" customHeight="1" x14ac:dyDescent="0.2">
      <c r="B41" s="424"/>
      <c r="C41" s="318"/>
      <c r="D41" s="318"/>
      <c r="E41" s="318"/>
      <c r="F41" s="318"/>
      <c r="G41" s="318"/>
      <c r="H41" s="318"/>
      <c r="I41" s="425"/>
    </row>
    <row r="42" spans="2:17" ht="34.5" customHeight="1" x14ac:dyDescent="0.2">
      <c r="B42" s="424"/>
      <c r="C42" s="318"/>
      <c r="D42" s="318"/>
      <c r="E42" s="318"/>
      <c r="F42" s="318"/>
      <c r="G42" s="318"/>
      <c r="H42" s="318"/>
      <c r="I42" s="425"/>
    </row>
    <row r="43" spans="2:17" ht="34.5" customHeight="1" x14ac:dyDescent="0.2">
      <c r="B43" s="424"/>
      <c r="C43" s="318"/>
      <c r="D43" s="318"/>
      <c r="E43" s="318"/>
      <c r="F43" s="318"/>
      <c r="G43" s="318"/>
      <c r="H43" s="318"/>
      <c r="I43" s="425"/>
    </row>
    <row r="44" spans="2:17" ht="72" customHeight="1" x14ac:dyDescent="0.2">
      <c r="B44" s="426"/>
      <c r="C44" s="321"/>
      <c r="D44" s="321"/>
      <c r="E44" s="321"/>
      <c r="F44" s="321"/>
      <c r="G44" s="321"/>
      <c r="H44" s="321"/>
      <c r="I44" s="427"/>
    </row>
    <row r="45" spans="2:17" ht="144.75" customHeight="1" x14ac:dyDescent="0.2">
      <c r="B45" s="164" t="s">
        <v>272</v>
      </c>
      <c r="C45" s="428" t="s">
        <v>387</v>
      </c>
      <c r="D45" s="429"/>
      <c r="E45" s="429"/>
      <c r="F45" s="429"/>
      <c r="G45" s="429"/>
      <c r="H45" s="429"/>
      <c r="I45" s="430"/>
      <c r="L45" s="7"/>
      <c r="M45" s="7"/>
      <c r="N45" s="7"/>
      <c r="O45" s="7"/>
      <c r="P45" s="7"/>
      <c r="Q45" s="7"/>
    </row>
    <row r="46" spans="2:17" ht="32.25" customHeight="1" x14ac:dyDescent="0.2">
      <c r="B46" s="164" t="s">
        <v>273</v>
      </c>
      <c r="C46" s="428" t="s">
        <v>325</v>
      </c>
      <c r="D46" s="429"/>
      <c r="E46" s="429"/>
      <c r="F46" s="429"/>
      <c r="G46" s="429"/>
      <c r="H46" s="429"/>
      <c r="I46" s="430"/>
    </row>
    <row r="47" spans="2:17" ht="66" customHeight="1" x14ac:dyDescent="0.2">
      <c r="B47" s="175" t="s">
        <v>274</v>
      </c>
      <c r="C47" s="485" t="s">
        <v>380</v>
      </c>
      <c r="D47" s="486"/>
      <c r="E47" s="486"/>
      <c r="F47" s="486"/>
      <c r="G47" s="486"/>
      <c r="H47" s="486"/>
      <c r="I47" s="487"/>
    </row>
    <row r="48" spans="2:17"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326</v>
      </c>
      <c r="D51" s="421"/>
      <c r="E51" s="421"/>
      <c r="F51" s="421"/>
      <c r="G51" s="421"/>
      <c r="H51" s="421"/>
      <c r="I51" s="421"/>
    </row>
    <row r="52" spans="2:9" ht="28.5" customHeight="1" x14ac:dyDescent="0.2">
      <c r="B52" s="167" t="s">
        <v>283</v>
      </c>
      <c r="C52" s="435" t="s">
        <v>302</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formula1>#REF!</formula1>
    </dataValidation>
  </dataValidations>
  <pageMargins left="0.7" right="0.7" top="0.75" bottom="0.75" header="0.3" footer="0.3"/>
  <pageSetup orientation="portrait" r:id="rId1"/>
  <ignoredErrors>
    <ignoredError sqref="H27:H28 H30 I27 F27 H31 H36: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E25" zoomScale="90" zoomScaleNormal="90" workbookViewId="0">
      <selection activeCell="H35" sqref="H3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5</v>
      </c>
      <c r="D6" s="472" t="s">
        <v>215</v>
      </c>
      <c r="E6" s="472"/>
      <c r="F6" s="457" t="s">
        <v>327</v>
      </c>
      <c r="G6" s="457"/>
      <c r="H6" s="457"/>
      <c r="I6" s="457"/>
    </row>
    <row r="7" spans="2:9" ht="30.75" customHeight="1" x14ac:dyDescent="0.2">
      <c r="B7" s="164" t="s">
        <v>217</v>
      </c>
      <c r="C7" s="179" t="s">
        <v>96</v>
      </c>
      <c r="D7" s="472" t="s">
        <v>218</v>
      </c>
      <c r="E7" s="472"/>
      <c r="F7" s="457" t="s">
        <v>219</v>
      </c>
      <c r="G7" s="457"/>
      <c r="H7" s="167" t="s">
        <v>220</v>
      </c>
      <c r="I7" s="179" t="s">
        <v>78</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328</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329</v>
      </c>
      <c r="D14" s="353"/>
      <c r="E14" s="353"/>
      <c r="F14" s="353"/>
      <c r="G14" s="353"/>
      <c r="H14" s="353"/>
      <c r="I14" s="353"/>
    </row>
    <row r="15" spans="2:9" ht="30.75" customHeight="1" x14ac:dyDescent="0.2">
      <c r="B15" s="164" t="s">
        <v>238</v>
      </c>
      <c r="C15" s="347" t="s">
        <v>319</v>
      </c>
      <c r="D15" s="347"/>
      <c r="E15" s="347"/>
      <c r="F15" s="347"/>
      <c r="G15" s="347"/>
      <c r="H15" s="347"/>
      <c r="I15" s="347"/>
    </row>
    <row r="16" spans="2:9" ht="20.25" customHeight="1" x14ac:dyDescent="0.2">
      <c r="B16" s="164" t="s">
        <v>240</v>
      </c>
      <c r="C16" s="457" t="s">
        <v>330</v>
      </c>
      <c r="D16" s="457"/>
      <c r="E16" s="457"/>
      <c r="F16" s="457"/>
      <c r="G16" s="457"/>
      <c r="H16" s="457"/>
      <c r="I16" s="457"/>
    </row>
    <row r="17" spans="2:10" ht="30.75" customHeight="1" x14ac:dyDescent="0.2">
      <c r="B17" s="164" t="s">
        <v>242</v>
      </c>
      <c r="C17" s="458" t="s">
        <v>331</v>
      </c>
      <c r="D17" s="459"/>
      <c r="E17" s="459"/>
      <c r="F17" s="459"/>
      <c r="G17" s="459"/>
      <c r="H17" s="459"/>
      <c r="I17" s="459"/>
    </row>
    <row r="18" spans="2:10" ht="18" customHeight="1" x14ac:dyDescent="0.2">
      <c r="B18" s="460" t="s">
        <v>244</v>
      </c>
      <c r="C18" s="461" t="s">
        <v>245</v>
      </c>
      <c r="D18" s="461"/>
      <c r="E18" s="461"/>
      <c r="F18" s="462" t="s">
        <v>246</v>
      </c>
      <c r="G18" s="462"/>
      <c r="H18" s="462"/>
      <c r="I18" s="462"/>
    </row>
    <row r="19" spans="2:10" ht="39.75" customHeight="1" x14ac:dyDescent="0.2">
      <c r="B19" s="460"/>
      <c r="C19" s="457" t="s">
        <v>332</v>
      </c>
      <c r="D19" s="457"/>
      <c r="E19" s="457"/>
      <c r="F19" s="457" t="s">
        <v>333</v>
      </c>
      <c r="G19" s="457"/>
      <c r="H19" s="457"/>
      <c r="I19" s="457"/>
    </row>
    <row r="20" spans="2:10" ht="39.75" customHeight="1" x14ac:dyDescent="0.2">
      <c r="B20" s="165" t="s">
        <v>249</v>
      </c>
      <c r="C20" s="435" t="s">
        <v>334</v>
      </c>
      <c r="D20" s="436"/>
      <c r="E20" s="437"/>
      <c r="F20" s="349" t="s">
        <v>335</v>
      </c>
      <c r="G20" s="349"/>
      <c r="H20" s="349"/>
      <c r="I20" s="350"/>
    </row>
    <row r="21" spans="2:10" ht="42" customHeight="1" x14ac:dyDescent="0.2">
      <c r="B21" s="165" t="s">
        <v>252</v>
      </c>
      <c r="C21" s="438" t="s">
        <v>336</v>
      </c>
      <c r="D21" s="439"/>
      <c r="E21" s="440"/>
      <c r="F21" s="441" t="s">
        <v>337</v>
      </c>
      <c r="G21" s="442"/>
      <c r="H21" s="442"/>
      <c r="I21" s="443"/>
    </row>
    <row r="22" spans="2:10" ht="32.25" customHeight="1" x14ac:dyDescent="0.2">
      <c r="B22" s="165" t="s">
        <v>255</v>
      </c>
      <c r="C22" s="444">
        <v>44927</v>
      </c>
      <c r="D22" s="445"/>
      <c r="E22" s="446"/>
      <c r="F22" s="167" t="s">
        <v>256</v>
      </c>
      <c r="G22" s="193">
        <v>430</v>
      </c>
      <c r="H22" s="167" t="s">
        <v>257</v>
      </c>
      <c r="I22" s="194">
        <f>60+390+430</f>
        <v>880</v>
      </c>
      <c r="J22" s="190"/>
    </row>
    <row r="23" spans="2:10" ht="27" customHeight="1" x14ac:dyDescent="0.2">
      <c r="B23" s="165" t="s">
        <v>258</v>
      </c>
      <c r="C23" s="444">
        <v>45291</v>
      </c>
      <c r="D23" s="327"/>
      <c r="E23" s="447"/>
      <c r="F23" s="167" t="s">
        <v>259</v>
      </c>
      <c r="G23" s="481">
        <v>75</v>
      </c>
      <c r="H23" s="482"/>
      <c r="I23" s="483"/>
    </row>
    <row r="24" spans="2:10" ht="30.75" customHeight="1" x14ac:dyDescent="0.2">
      <c r="B24" s="166" t="s">
        <v>260</v>
      </c>
      <c r="C24" s="339" t="s">
        <v>112</v>
      </c>
      <c r="D24" s="340"/>
      <c r="E24" s="341"/>
      <c r="F24" s="181" t="s">
        <v>261</v>
      </c>
      <c r="G24" s="441" t="s">
        <v>262</v>
      </c>
      <c r="H24" s="442"/>
      <c r="I24" s="451"/>
    </row>
    <row r="25" spans="2:10" ht="22.5" customHeight="1" x14ac:dyDescent="0.2">
      <c r="B25" s="452" t="s">
        <v>263</v>
      </c>
      <c r="C25" s="434"/>
      <c r="D25" s="434"/>
      <c r="E25" s="434"/>
      <c r="F25" s="434"/>
      <c r="G25" s="434"/>
      <c r="H25" s="434"/>
      <c r="I25" s="453"/>
    </row>
    <row r="26" spans="2:10" ht="43.5" customHeight="1" x14ac:dyDescent="0.2">
      <c r="B26" s="169" t="s">
        <v>142</v>
      </c>
      <c r="C26" s="170" t="s">
        <v>264</v>
      </c>
      <c r="D26" s="170" t="s">
        <v>265</v>
      </c>
      <c r="E26" s="171" t="s">
        <v>266</v>
      </c>
      <c r="F26" s="170" t="s">
        <v>267</v>
      </c>
      <c r="G26" s="170" t="s">
        <v>268</v>
      </c>
      <c r="H26" s="171" t="s">
        <v>269</v>
      </c>
      <c r="I26" s="172" t="s">
        <v>270</v>
      </c>
    </row>
    <row r="27" spans="2:10" ht="19.5" customHeight="1" x14ac:dyDescent="0.2">
      <c r="B27" s="173" t="s">
        <v>151</v>
      </c>
      <c r="C27" s="202">
        <v>1</v>
      </c>
      <c r="D27" s="201">
        <f>75*0.01333</f>
        <v>0.99975000000000003</v>
      </c>
      <c r="E27" s="192">
        <f>IF(OR(C27=0,C27=""),0,D27/C27)</f>
        <v>0.99975000000000003</v>
      </c>
      <c r="F27" s="473">
        <f>SUM(C27:C38)</f>
        <v>75</v>
      </c>
      <c r="G27" s="454">
        <f>SUM(D27:D38)</f>
        <v>71.997250000000008</v>
      </c>
      <c r="H27" s="185">
        <f>+(D27*100%)/$G$23</f>
        <v>1.333E-2</v>
      </c>
      <c r="I27" s="454">
        <f>G27+I22</f>
        <v>951.99725000000001</v>
      </c>
    </row>
    <row r="28" spans="2:10" ht="19.5" customHeight="1" x14ac:dyDescent="0.2">
      <c r="B28" s="173" t="s">
        <v>152</v>
      </c>
      <c r="C28" s="202">
        <v>4</v>
      </c>
      <c r="D28" s="202">
        <f>75*0.0533</f>
        <v>3.9975000000000001</v>
      </c>
      <c r="E28" s="192">
        <f t="shared" ref="E28:E38" si="0">IF(OR(C28=0,C28=""),0,D28/C28)</f>
        <v>0.99937500000000001</v>
      </c>
      <c r="F28" s="474"/>
      <c r="G28" s="455"/>
      <c r="H28" s="185">
        <f t="shared" ref="H28:H38" si="1">+(D28*100%)/$G$23</f>
        <v>5.33E-2</v>
      </c>
      <c r="I28" s="455"/>
    </row>
    <row r="29" spans="2:10" ht="19.5" customHeight="1" x14ac:dyDescent="0.2">
      <c r="B29" s="173" t="s">
        <v>153</v>
      </c>
      <c r="C29" s="202">
        <v>6</v>
      </c>
      <c r="D29" s="202">
        <v>8</v>
      </c>
      <c r="E29" s="192">
        <f t="shared" si="0"/>
        <v>1.3333333333333333</v>
      </c>
      <c r="F29" s="474"/>
      <c r="G29" s="455"/>
      <c r="H29" s="185">
        <f>+(D29*100%)/$G$23+H28+H27</f>
        <v>0.17329666666666668</v>
      </c>
      <c r="I29" s="455"/>
    </row>
    <row r="30" spans="2:10" ht="19.5" customHeight="1" x14ac:dyDescent="0.2">
      <c r="B30" s="173" t="s">
        <v>154</v>
      </c>
      <c r="C30" s="202">
        <v>9</v>
      </c>
      <c r="D30" s="202">
        <v>10</v>
      </c>
      <c r="E30" s="192">
        <f t="shared" si="0"/>
        <v>1.1111111111111112</v>
      </c>
      <c r="F30" s="474"/>
      <c r="G30" s="455"/>
      <c r="H30" s="185">
        <f t="shared" ref="H30:H35" si="2">+(D30*100%)/$G$23+H29</f>
        <v>0.30663000000000001</v>
      </c>
      <c r="I30" s="455"/>
    </row>
    <row r="31" spans="2:10" ht="19.5" customHeight="1" x14ac:dyDescent="0.2">
      <c r="B31" s="173" t="s">
        <v>155</v>
      </c>
      <c r="C31" s="202">
        <v>9</v>
      </c>
      <c r="D31" s="202">
        <v>15</v>
      </c>
      <c r="E31" s="192">
        <f t="shared" si="0"/>
        <v>1.6666666666666667</v>
      </c>
      <c r="F31" s="474"/>
      <c r="G31" s="455"/>
      <c r="H31" s="185">
        <f t="shared" si="2"/>
        <v>0.50663000000000002</v>
      </c>
      <c r="I31" s="455"/>
    </row>
    <row r="32" spans="2:10" ht="19.5" customHeight="1" x14ac:dyDescent="0.2">
      <c r="B32" s="173" t="s">
        <v>156</v>
      </c>
      <c r="C32" s="202">
        <v>9</v>
      </c>
      <c r="D32" s="202">
        <v>10</v>
      </c>
      <c r="E32" s="192">
        <f t="shared" si="0"/>
        <v>1.1111111111111112</v>
      </c>
      <c r="F32" s="474"/>
      <c r="G32" s="455"/>
      <c r="H32" s="213">
        <f t="shared" si="2"/>
        <v>0.63996333333333333</v>
      </c>
      <c r="I32" s="455"/>
    </row>
    <row r="33" spans="2:10" ht="19.5" customHeight="1" x14ac:dyDescent="0.2">
      <c r="B33" s="173" t="s">
        <v>157</v>
      </c>
      <c r="C33" s="202">
        <v>8</v>
      </c>
      <c r="D33" s="202">
        <v>10</v>
      </c>
      <c r="E33" s="192">
        <f t="shared" si="0"/>
        <v>1.25</v>
      </c>
      <c r="F33" s="474"/>
      <c r="G33" s="455"/>
      <c r="H33" s="185">
        <f t="shared" si="2"/>
        <v>0.77329666666666663</v>
      </c>
      <c r="I33" s="455"/>
    </row>
    <row r="34" spans="2:10" ht="19.5" customHeight="1" x14ac:dyDescent="0.2">
      <c r="B34" s="173" t="s">
        <v>158</v>
      </c>
      <c r="C34" s="202">
        <v>8</v>
      </c>
      <c r="D34" s="202">
        <v>9</v>
      </c>
      <c r="E34" s="192">
        <f t="shared" si="0"/>
        <v>1.125</v>
      </c>
      <c r="F34" s="474"/>
      <c r="G34" s="455"/>
      <c r="H34" s="185">
        <f t="shared" si="2"/>
        <v>0.89329666666666663</v>
      </c>
      <c r="I34" s="455"/>
    </row>
    <row r="35" spans="2:10" ht="19.5" customHeight="1" x14ac:dyDescent="0.2">
      <c r="B35" s="173" t="s">
        <v>159</v>
      </c>
      <c r="C35" s="202">
        <v>8</v>
      </c>
      <c r="D35" s="202">
        <v>5</v>
      </c>
      <c r="E35" s="192">
        <f t="shared" si="0"/>
        <v>0.625</v>
      </c>
      <c r="F35" s="474"/>
      <c r="G35" s="455"/>
      <c r="H35" s="185">
        <f t="shared" si="2"/>
        <v>0.95996333333333328</v>
      </c>
      <c r="I35" s="455"/>
    </row>
    <row r="36" spans="2:10" ht="19.5" customHeight="1" x14ac:dyDescent="0.2">
      <c r="B36" s="173" t="s">
        <v>160</v>
      </c>
      <c r="C36" s="202">
        <v>7</v>
      </c>
      <c r="D36" s="202"/>
      <c r="E36" s="192">
        <f t="shared" si="0"/>
        <v>0</v>
      </c>
      <c r="F36" s="474"/>
      <c r="G36" s="455"/>
      <c r="H36" s="185">
        <f t="shared" si="1"/>
        <v>0</v>
      </c>
      <c r="I36" s="455"/>
    </row>
    <row r="37" spans="2:10" ht="19.5" customHeight="1" x14ac:dyDescent="0.2">
      <c r="B37" s="173" t="s">
        <v>161</v>
      </c>
      <c r="C37" s="202">
        <v>3</v>
      </c>
      <c r="D37" s="202"/>
      <c r="E37" s="192">
        <f t="shared" si="0"/>
        <v>0</v>
      </c>
      <c r="F37" s="474"/>
      <c r="G37" s="455"/>
      <c r="H37" s="185">
        <f t="shared" si="1"/>
        <v>0</v>
      </c>
      <c r="I37" s="455"/>
    </row>
    <row r="38" spans="2:10" ht="19.5" customHeight="1" x14ac:dyDescent="0.2">
      <c r="B38" s="173" t="s">
        <v>162</v>
      </c>
      <c r="C38" s="202">
        <v>3</v>
      </c>
      <c r="D38" s="202"/>
      <c r="E38" s="183">
        <f t="shared" si="0"/>
        <v>0</v>
      </c>
      <c r="F38" s="475"/>
      <c r="G38" s="456"/>
      <c r="H38" s="185">
        <f t="shared" si="1"/>
        <v>0</v>
      </c>
      <c r="I38" s="456"/>
    </row>
    <row r="39" spans="2:10" ht="129" customHeight="1" x14ac:dyDescent="0.2">
      <c r="B39" s="174" t="s">
        <v>271</v>
      </c>
      <c r="C39" s="484" t="s">
        <v>388</v>
      </c>
      <c r="D39" s="488"/>
      <c r="E39" s="488"/>
      <c r="F39" s="488"/>
      <c r="G39" s="488"/>
      <c r="H39" s="488"/>
      <c r="I39" s="489"/>
      <c r="J39" s="206"/>
    </row>
    <row r="40" spans="2:10" ht="34.5" customHeight="1" x14ac:dyDescent="0.2">
      <c r="B40" s="422"/>
      <c r="C40" s="315"/>
      <c r="D40" s="315"/>
      <c r="E40" s="315"/>
      <c r="F40" s="315"/>
      <c r="G40" s="315"/>
      <c r="H40" s="315"/>
      <c r="I40" s="423"/>
    </row>
    <row r="41" spans="2:10" ht="34.5" customHeight="1" x14ac:dyDescent="0.2">
      <c r="B41" s="424"/>
      <c r="C41" s="318"/>
      <c r="D41" s="318"/>
      <c r="E41" s="318"/>
      <c r="F41" s="318"/>
      <c r="G41" s="318"/>
      <c r="H41" s="318"/>
      <c r="I41" s="425"/>
    </row>
    <row r="42" spans="2:10" ht="34.5" customHeight="1" x14ac:dyDescent="0.2">
      <c r="B42" s="424"/>
      <c r="C42" s="318"/>
      <c r="D42" s="318"/>
      <c r="E42" s="318"/>
      <c r="F42" s="318"/>
      <c r="G42" s="318"/>
      <c r="H42" s="318"/>
      <c r="I42" s="425"/>
    </row>
    <row r="43" spans="2:10" ht="34.5" customHeight="1" x14ac:dyDescent="0.2">
      <c r="B43" s="424"/>
      <c r="C43" s="318"/>
      <c r="D43" s="318"/>
      <c r="E43" s="318"/>
      <c r="F43" s="318"/>
      <c r="G43" s="318"/>
      <c r="H43" s="318"/>
      <c r="I43" s="425"/>
    </row>
    <row r="44" spans="2:10" ht="34.5" customHeight="1" x14ac:dyDescent="0.2">
      <c r="B44" s="426"/>
      <c r="C44" s="321"/>
      <c r="D44" s="321"/>
      <c r="E44" s="321"/>
      <c r="F44" s="321"/>
      <c r="G44" s="321"/>
      <c r="H44" s="321"/>
      <c r="I44" s="427"/>
    </row>
    <row r="45" spans="2:10" ht="51.95" customHeight="1" x14ac:dyDescent="0.2">
      <c r="B45" s="164" t="s">
        <v>272</v>
      </c>
      <c r="C45" s="484" t="s">
        <v>389</v>
      </c>
      <c r="D45" s="488"/>
      <c r="E45" s="488"/>
      <c r="F45" s="488"/>
      <c r="G45" s="488"/>
      <c r="H45" s="488"/>
      <c r="I45" s="489"/>
    </row>
    <row r="46" spans="2:10" ht="42" customHeight="1" x14ac:dyDescent="0.2">
      <c r="B46" s="164" t="s">
        <v>273</v>
      </c>
      <c r="C46" s="484" t="s">
        <v>338</v>
      </c>
      <c r="D46" s="488"/>
      <c r="E46" s="488"/>
      <c r="F46" s="488"/>
      <c r="G46" s="488"/>
      <c r="H46" s="488"/>
      <c r="I46" s="489"/>
    </row>
    <row r="47" spans="2:10" ht="33.75" customHeight="1" x14ac:dyDescent="0.2">
      <c r="B47" s="175" t="s">
        <v>274</v>
      </c>
      <c r="C47" s="490" t="s">
        <v>339</v>
      </c>
      <c r="D47" s="491"/>
      <c r="E47" s="491"/>
      <c r="F47" s="491"/>
      <c r="G47" s="491"/>
      <c r="H47" s="491"/>
      <c r="I47" s="492"/>
    </row>
    <row r="48" spans="2:10"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340</v>
      </c>
      <c r="D51" s="421"/>
      <c r="E51" s="421"/>
      <c r="F51" s="421"/>
      <c r="G51" s="421"/>
      <c r="H51" s="421"/>
      <c r="I51" s="421"/>
    </row>
    <row r="52" spans="2:9" ht="28.5" customHeight="1" x14ac:dyDescent="0.2">
      <c r="B52" s="167" t="s">
        <v>283</v>
      </c>
      <c r="C52" s="435" t="s">
        <v>302</v>
      </c>
      <c r="D52" s="436"/>
      <c r="E52" s="436"/>
      <c r="F52" s="436"/>
      <c r="G52" s="436"/>
      <c r="H52" s="436"/>
      <c r="I52" s="437"/>
    </row>
    <row r="53" spans="2:9" ht="30" customHeight="1" x14ac:dyDescent="0.2">
      <c r="B53" s="175" t="s">
        <v>285</v>
      </c>
      <c r="C53" s="421" t="s">
        <v>341</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formula1>#REF!</formula1>
    </dataValidation>
  </dataValidations>
  <pageMargins left="0.7" right="0.7" top="0.75" bottom="0.75" header="0.3" footer="0.3"/>
  <pageSetup orientation="portrait" r:id="rId1"/>
  <ignoredErrors>
    <ignoredError sqref="F27:I30 F36:I38 F31:G31 H31:I31 F32:G32 I32 F33:G33 I33 F34:G34 I34 F35:G35 I35"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topLeftCell="B46" zoomScale="80" zoomScaleNormal="80" workbookViewId="0">
      <selection activeCell="K50" sqref="K50"/>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68"/>
      <c r="C1" s="379" t="s">
        <v>1</v>
      </c>
      <c r="D1" s="379"/>
      <c r="E1" s="379"/>
      <c r="F1" s="379"/>
      <c r="G1" s="379"/>
      <c r="H1" s="379"/>
      <c r="I1" s="469"/>
      <c r="J1" s="10"/>
      <c r="K1" s="10"/>
      <c r="M1" s="11" t="s">
        <v>61</v>
      </c>
    </row>
    <row r="2" spans="2:14" ht="37.5" customHeight="1" x14ac:dyDescent="0.2">
      <c r="B2" s="468"/>
      <c r="C2" s="379" t="s">
        <v>210</v>
      </c>
      <c r="D2" s="379"/>
      <c r="E2" s="379"/>
      <c r="F2" s="379"/>
      <c r="G2" s="379"/>
      <c r="H2" s="379"/>
      <c r="I2" s="469"/>
      <c r="J2" s="10"/>
      <c r="K2" s="10"/>
      <c r="M2" s="11" t="s">
        <v>62</v>
      </c>
    </row>
    <row r="3" spans="2:14" ht="37.5" customHeight="1" x14ac:dyDescent="0.2">
      <c r="B3" s="468"/>
      <c r="C3" s="379" t="s">
        <v>211</v>
      </c>
      <c r="D3" s="379"/>
      <c r="E3" s="379"/>
      <c r="F3" s="379" t="s">
        <v>212</v>
      </c>
      <c r="G3" s="379"/>
      <c r="H3" s="379"/>
      <c r="I3" s="469"/>
      <c r="J3" s="10"/>
      <c r="K3" s="10"/>
      <c r="M3" s="11" t="s">
        <v>64</v>
      </c>
    </row>
    <row r="4" spans="2:14" ht="23.25" customHeight="1" x14ac:dyDescent="0.2">
      <c r="B4" s="470"/>
      <c r="C4" s="470"/>
      <c r="D4" s="470"/>
      <c r="E4" s="470"/>
      <c r="F4" s="470"/>
      <c r="G4" s="470"/>
      <c r="H4" s="470"/>
      <c r="I4" s="470"/>
      <c r="J4" s="12"/>
      <c r="K4" s="12"/>
    </row>
    <row r="5" spans="2:14" ht="24" customHeight="1" x14ac:dyDescent="0.2">
      <c r="B5" s="471" t="s">
        <v>213</v>
      </c>
      <c r="C5" s="471"/>
      <c r="D5" s="471"/>
      <c r="E5" s="471"/>
      <c r="F5" s="471"/>
      <c r="G5" s="471"/>
      <c r="H5" s="471"/>
      <c r="I5" s="471"/>
      <c r="J5" s="14"/>
      <c r="K5" s="14"/>
      <c r="N5" s="6" t="s">
        <v>71</v>
      </c>
    </row>
    <row r="6" spans="2:14" ht="30.75" customHeight="1" x14ac:dyDescent="0.2">
      <c r="B6" s="164" t="s">
        <v>214</v>
      </c>
      <c r="C6" s="179">
        <v>6</v>
      </c>
      <c r="D6" s="472" t="s">
        <v>215</v>
      </c>
      <c r="E6" s="472"/>
      <c r="F6" s="457" t="s">
        <v>342</v>
      </c>
      <c r="G6" s="457"/>
      <c r="H6" s="457"/>
      <c r="I6" s="457"/>
      <c r="J6" s="15"/>
      <c r="K6" s="15"/>
      <c r="M6" s="11" t="s">
        <v>75</v>
      </c>
      <c r="N6" s="6" t="s">
        <v>76</v>
      </c>
    </row>
    <row r="7" spans="2:14" ht="30.75" customHeight="1" x14ac:dyDescent="0.2">
      <c r="B7" s="164" t="s">
        <v>217</v>
      </c>
      <c r="C7" s="179" t="s">
        <v>78</v>
      </c>
      <c r="D7" s="472" t="s">
        <v>218</v>
      </c>
      <c r="E7" s="472"/>
      <c r="F7" s="457" t="s">
        <v>219</v>
      </c>
      <c r="G7" s="457"/>
      <c r="H7" s="167" t="s">
        <v>220</v>
      </c>
      <c r="I7" s="179" t="s">
        <v>96</v>
      </c>
      <c r="J7" s="17"/>
      <c r="K7" s="17"/>
      <c r="M7" s="11" t="s">
        <v>82</v>
      </c>
      <c r="N7" s="6" t="s">
        <v>83</v>
      </c>
    </row>
    <row r="8" spans="2:14" ht="30.75" customHeight="1" x14ac:dyDescent="0.2">
      <c r="B8" s="164" t="s">
        <v>221</v>
      </c>
      <c r="C8" s="457" t="s">
        <v>222</v>
      </c>
      <c r="D8" s="457"/>
      <c r="E8" s="457"/>
      <c r="F8" s="457"/>
      <c r="G8" s="167" t="s">
        <v>223</v>
      </c>
      <c r="H8" s="463">
        <v>7560</v>
      </c>
      <c r="I8" s="463"/>
      <c r="J8" s="19"/>
      <c r="K8" s="19"/>
      <c r="M8" s="11" t="s">
        <v>87</v>
      </c>
      <c r="N8" s="6" t="s">
        <v>42</v>
      </c>
    </row>
    <row r="9" spans="2:14" ht="30.75" customHeight="1" x14ac:dyDescent="0.2">
      <c r="B9" s="164" t="s">
        <v>62</v>
      </c>
      <c r="C9" s="464" t="s">
        <v>82</v>
      </c>
      <c r="D9" s="464"/>
      <c r="E9" s="464"/>
      <c r="F9" s="464"/>
      <c r="G9" s="167" t="s">
        <v>224</v>
      </c>
      <c r="H9" s="465" t="s">
        <v>225</v>
      </c>
      <c r="I9" s="465"/>
      <c r="J9" s="20"/>
      <c r="K9" s="20"/>
      <c r="M9" s="21" t="s">
        <v>91</v>
      </c>
    </row>
    <row r="10" spans="2:14" ht="30.75" customHeight="1" x14ac:dyDescent="0.2">
      <c r="B10" s="164" t="s">
        <v>226</v>
      </c>
      <c r="C10" s="466" t="s">
        <v>227</v>
      </c>
      <c r="D10" s="466"/>
      <c r="E10" s="466"/>
      <c r="F10" s="466"/>
      <c r="G10" s="466"/>
      <c r="H10" s="466"/>
      <c r="I10" s="466"/>
      <c r="J10" s="22"/>
      <c r="K10" s="22"/>
      <c r="M10" s="21"/>
    </row>
    <row r="11" spans="2:14" ht="30.75" customHeight="1" x14ac:dyDescent="0.2">
      <c r="B11" s="164" t="s">
        <v>228</v>
      </c>
      <c r="C11" s="458" t="s">
        <v>229</v>
      </c>
      <c r="D11" s="458"/>
      <c r="E11" s="458"/>
      <c r="F11" s="458"/>
      <c r="G11" s="458"/>
      <c r="H11" s="458"/>
      <c r="I11" s="458"/>
      <c r="J11" s="17"/>
      <c r="K11" s="17"/>
      <c r="M11" s="21"/>
      <c r="N11" s="6" t="s">
        <v>96</v>
      </c>
    </row>
    <row r="12" spans="2:14" ht="30.75" customHeight="1" x14ac:dyDescent="0.2">
      <c r="B12" s="164" t="s">
        <v>230</v>
      </c>
      <c r="C12" s="347" t="s">
        <v>343</v>
      </c>
      <c r="D12" s="347"/>
      <c r="E12" s="347"/>
      <c r="F12" s="347"/>
      <c r="G12" s="167" t="s">
        <v>232</v>
      </c>
      <c r="H12" s="349" t="s">
        <v>100</v>
      </c>
      <c r="I12" s="349"/>
      <c r="J12" s="17"/>
      <c r="K12" s="17"/>
      <c r="M12" s="21" t="s">
        <v>101</v>
      </c>
      <c r="N12" s="6" t="s">
        <v>78</v>
      </c>
    </row>
    <row r="13" spans="2:14" ht="30.75" customHeight="1" x14ac:dyDescent="0.2">
      <c r="B13" s="164" t="s">
        <v>233</v>
      </c>
      <c r="C13" s="467" t="s">
        <v>234</v>
      </c>
      <c r="D13" s="467"/>
      <c r="E13" s="467"/>
      <c r="F13" s="467"/>
      <c r="G13" s="167" t="s">
        <v>235</v>
      </c>
      <c r="H13" s="458" t="s">
        <v>42</v>
      </c>
      <c r="I13" s="458"/>
      <c r="J13" s="17"/>
      <c r="K13" s="17"/>
      <c r="M13" s="21" t="s">
        <v>105</v>
      </c>
    </row>
    <row r="14" spans="2:14" ht="64.5" customHeight="1" x14ac:dyDescent="0.2">
      <c r="B14" s="164" t="s">
        <v>236</v>
      </c>
      <c r="C14" s="353" t="s">
        <v>344</v>
      </c>
      <c r="D14" s="353"/>
      <c r="E14" s="353"/>
      <c r="F14" s="353"/>
      <c r="G14" s="353"/>
      <c r="H14" s="353"/>
      <c r="I14" s="353"/>
      <c r="J14" s="22"/>
      <c r="K14" s="22"/>
      <c r="M14" s="21" t="s">
        <v>108</v>
      </c>
      <c r="N14" s="6"/>
    </row>
    <row r="15" spans="2:14" ht="30.75" customHeight="1" x14ac:dyDescent="0.2">
      <c r="B15" s="164" t="s">
        <v>238</v>
      </c>
      <c r="C15" s="347" t="s">
        <v>345</v>
      </c>
      <c r="D15" s="347"/>
      <c r="E15" s="347"/>
      <c r="F15" s="347"/>
      <c r="G15" s="347"/>
      <c r="H15" s="347"/>
      <c r="I15" s="347"/>
      <c r="J15" s="23"/>
      <c r="K15" s="23"/>
      <c r="M15" s="21" t="s">
        <v>112</v>
      </c>
      <c r="N15" s="6"/>
    </row>
    <row r="16" spans="2:14" ht="20.25" customHeight="1" x14ac:dyDescent="0.2">
      <c r="B16" s="164" t="s">
        <v>240</v>
      </c>
      <c r="C16" s="457" t="s">
        <v>346</v>
      </c>
      <c r="D16" s="457"/>
      <c r="E16" s="457"/>
      <c r="F16" s="457"/>
      <c r="G16" s="457"/>
      <c r="H16" s="457"/>
      <c r="I16" s="457"/>
      <c r="J16" s="24"/>
      <c r="K16" s="24"/>
      <c r="M16" s="21"/>
      <c r="N16" s="6"/>
    </row>
    <row r="17" spans="2:14" ht="30.75" customHeight="1" x14ac:dyDescent="0.2">
      <c r="B17" s="164" t="s">
        <v>242</v>
      </c>
      <c r="C17" s="458" t="s">
        <v>347</v>
      </c>
      <c r="D17" s="459"/>
      <c r="E17" s="459"/>
      <c r="F17" s="459"/>
      <c r="G17" s="459"/>
      <c r="H17" s="459"/>
      <c r="I17" s="459"/>
      <c r="J17" s="25"/>
      <c r="K17" s="25"/>
      <c r="M17" s="21" t="s">
        <v>100</v>
      </c>
      <c r="N17" s="6"/>
    </row>
    <row r="18" spans="2:14" ht="18" customHeight="1" x14ac:dyDescent="0.2">
      <c r="B18" s="460" t="s">
        <v>244</v>
      </c>
      <c r="C18" s="461" t="s">
        <v>245</v>
      </c>
      <c r="D18" s="461"/>
      <c r="E18" s="461"/>
      <c r="F18" s="462" t="s">
        <v>246</v>
      </c>
      <c r="G18" s="462"/>
      <c r="H18" s="462"/>
      <c r="I18" s="462"/>
      <c r="J18" s="26"/>
      <c r="K18" s="26"/>
      <c r="M18" s="21" t="s">
        <v>122</v>
      </c>
      <c r="N18" s="6"/>
    </row>
    <row r="19" spans="2:14" ht="39.75" customHeight="1" x14ac:dyDescent="0.2">
      <c r="B19" s="460"/>
      <c r="C19" s="457" t="s">
        <v>348</v>
      </c>
      <c r="D19" s="457"/>
      <c r="E19" s="457"/>
      <c r="F19" s="457" t="s">
        <v>349</v>
      </c>
      <c r="G19" s="457"/>
      <c r="H19" s="457"/>
      <c r="I19" s="457"/>
      <c r="J19" s="24"/>
      <c r="K19" s="24"/>
      <c r="M19" s="21" t="s">
        <v>126</v>
      </c>
      <c r="N19" s="6"/>
    </row>
    <row r="20" spans="2:14" ht="39.75" customHeight="1" x14ac:dyDescent="0.2">
      <c r="B20" s="165" t="s">
        <v>249</v>
      </c>
      <c r="C20" s="435" t="s">
        <v>350</v>
      </c>
      <c r="D20" s="436"/>
      <c r="E20" s="437"/>
      <c r="F20" s="349" t="s">
        <v>351</v>
      </c>
      <c r="G20" s="349"/>
      <c r="H20" s="349"/>
      <c r="I20" s="350"/>
      <c r="J20" s="17"/>
      <c r="K20" s="17"/>
      <c r="M20" s="21"/>
      <c r="N20" s="6"/>
    </row>
    <row r="21" spans="2:14" ht="42" customHeight="1" x14ac:dyDescent="0.2">
      <c r="B21" s="165" t="s">
        <v>252</v>
      </c>
      <c r="C21" s="438" t="s">
        <v>352</v>
      </c>
      <c r="D21" s="439"/>
      <c r="E21" s="440"/>
      <c r="F21" s="441" t="s">
        <v>353</v>
      </c>
      <c r="G21" s="442"/>
      <c r="H21" s="442"/>
      <c r="I21" s="443"/>
      <c r="J21" s="23"/>
      <c r="K21" s="23"/>
      <c r="M21" s="27"/>
      <c r="N21" s="6"/>
    </row>
    <row r="22" spans="2:14" ht="23.25" customHeight="1" x14ac:dyDescent="0.2">
      <c r="B22" s="165" t="s">
        <v>255</v>
      </c>
      <c r="C22" s="444">
        <v>44927</v>
      </c>
      <c r="D22" s="445"/>
      <c r="E22" s="446"/>
      <c r="F22" s="167" t="s">
        <v>256</v>
      </c>
      <c r="G22" s="193">
        <v>18</v>
      </c>
      <c r="H22" s="167" t="s">
        <v>257</v>
      </c>
      <c r="I22" s="194">
        <f>3+13+18</f>
        <v>34</v>
      </c>
      <c r="J22" s="28"/>
      <c r="K22" s="28"/>
      <c r="M22" s="27"/>
    </row>
    <row r="23" spans="2:14" ht="27" customHeight="1" x14ac:dyDescent="0.2">
      <c r="B23" s="165" t="s">
        <v>258</v>
      </c>
      <c r="C23" s="444">
        <v>45291</v>
      </c>
      <c r="D23" s="327"/>
      <c r="E23" s="447"/>
      <c r="F23" s="167" t="s">
        <v>259</v>
      </c>
      <c r="G23" s="481">
        <f>+F27</f>
        <v>10</v>
      </c>
      <c r="H23" s="482"/>
      <c r="I23" s="483"/>
      <c r="J23" s="29"/>
      <c r="K23" s="29"/>
      <c r="M23" s="27"/>
    </row>
    <row r="24" spans="2:14" ht="30.75" customHeight="1" x14ac:dyDescent="0.2">
      <c r="B24" s="166" t="s">
        <v>260</v>
      </c>
      <c r="C24" s="339" t="s">
        <v>112</v>
      </c>
      <c r="D24" s="340"/>
      <c r="E24" s="341"/>
      <c r="F24" s="168" t="s">
        <v>261</v>
      </c>
      <c r="G24" s="441" t="s">
        <v>262</v>
      </c>
      <c r="H24" s="442"/>
      <c r="I24" s="451"/>
      <c r="J24" s="26"/>
      <c r="K24" s="26"/>
      <c r="M24" s="27"/>
    </row>
    <row r="25" spans="2:14" ht="22.5" customHeight="1" x14ac:dyDescent="0.2">
      <c r="B25" s="452" t="s">
        <v>263</v>
      </c>
      <c r="C25" s="434"/>
      <c r="D25" s="434"/>
      <c r="E25" s="434"/>
      <c r="F25" s="434"/>
      <c r="G25" s="434"/>
      <c r="H25" s="434"/>
      <c r="I25" s="453"/>
      <c r="J25" s="14"/>
      <c r="K25" s="14"/>
      <c r="M25" s="27"/>
    </row>
    <row r="26" spans="2:14" ht="43.5" customHeight="1" x14ac:dyDescent="0.2">
      <c r="B26" s="169" t="s">
        <v>142</v>
      </c>
      <c r="C26" s="170" t="s">
        <v>264</v>
      </c>
      <c r="D26" s="170" t="s">
        <v>265</v>
      </c>
      <c r="E26" s="171" t="s">
        <v>266</v>
      </c>
      <c r="F26" s="170" t="s">
        <v>267</v>
      </c>
      <c r="G26" s="170" t="s">
        <v>268</v>
      </c>
      <c r="H26" s="171" t="s">
        <v>269</v>
      </c>
      <c r="I26" s="172" t="s">
        <v>270</v>
      </c>
      <c r="J26" s="24"/>
      <c r="K26" s="24"/>
      <c r="M26" s="27"/>
    </row>
    <row r="27" spans="2:14" ht="19.5" customHeight="1" x14ac:dyDescent="0.2">
      <c r="B27" s="173" t="s">
        <v>151</v>
      </c>
      <c r="C27" s="199">
        <v>0</v>
      </c>
      <c r="D27" s="186">
        <v>1</v>
      </c>
      <c r="E27" s="183">
        <f>IF(OR(C27=0,C27=""),0,D27/C27)</f>
        <v>0</v>
      </c>
      <c r="F27" s="454">
        <f>SUM(C27:C38)</f>
        <v>10</v>
      </c>
      <c r="G27" s="454">
        <f>SUM(D27:D38)</f>
        <v>9</v>
      </c>
      <c r="H27" s="185">
        <f>+(D27*100%)/$G$23</f>
        <v>0.1</v>
      </c>
      <c r="I27" s="454">
        <f>G27+I22</f>
        <v>43</v>
      </c>
      <c r="J27" s="36"/>
      <c r="K27" s="36"/>
      <c r="M27" s="27"/>
    </row>
    <row r="28" spans="2:14" ht="19.5" customHeight="1" x14ac:dyDescent="0.2">
      <c r="B28" s="173" t="s">
        <v>152</v>
      </c>
      <c r="C28" s="199">
        <v>0</v>
      </c>
      <c r="D28" s="188">
        <v>0</v>
      </c>
      <c r="E28" s="183">
        <f t="shared" ref="E28:E38" si="0">IF(OR(C28=0,C28=""),0,D28/C28)</f>
        <v>0</v>
      </c>
      <c r="F28" s="455"/>
      <c r="G28" s="455"/>
      <c r="H28" s="185">
        <f>+(D28*100%)/$G$23+H27</f>
        <v>0.1</v>
      </c>
      <c r="I28" s="455"/>
      <c r="J28" s="36"/>
      <c r="K28" s="36"/>
      <c r="M28" s="27"/>
    </row>
    <row r="29" spans="2:14" ht="19.5" customHeight="1" x14ac:dyDescent="0.2">
      <c r="B29" s="173" t="s">
        <v>153</v>
      </c>
      <c r="C29" s="199">
        <v>1</v>
      </c>
      <c r="D29" s="188">
        <v>0</v>
      </c>
      <c r="E29" s="183">
        <f>IF(OR(C29=0,C29=""),0,D29/C29)</f>
        <v>0</v>
      </c>
      <c r="F29" s="455"/>
      <c r="G29" s="455"/>
      <c r="H29" s="207">
        <f>+(D29*100%)/$G$23+H28</f>
        <v>0.1</v>
      </c>
      <c r="I29" s="455"/>
      <c r="J29" s="36"/>
      <c r="K29" s="36"/>
      <c r="M29" s="27"/>
    </row>
    <row r="30" spans="2:14" ht="19.5" customHeight="1" x14ac:dyDescent="0.2">
      <c r="B30" s="173" t="s">
        <v>154</v>
      </c>
      <c r="C30" s="199">
        <v>1</v>
      </c>
      <c r="D30" s="188">
        <v>1</v>
      </c>
      <c r="E30" s="183">
        <f t="shared" si="0"/>
        <v>1</v>
      </c>
      <c r="F30" s="455"/>
      <c r="G30" s="455"/>
      <c r="H30" s="185">
        <f t="shared" ref="H30" si="1">+IF(D30="","",((D30*100%)/$G$23)+H29)</f>
        <v>0.2</v>
      </c>
      <c r="I30" s="455"/>
      <c r="J30" s="36"/>
      <c r="K30" s="36"/>
    </row>
    <row r="31" spans="2:14" ht="19.5" customHeight="1" x14ac:dyDescent="0.2">
      <c r="B31" s="173" t="s">
        <v>155</v>
      </c>
      <c r="C31" s="199">
        <v>2</v>
      </c>
      <c r="D31" s="188">
        <v>2</v>
      </c>
      <c r="E31" s="183">
        <f t="shared" si="0"/>
        <v>1</v>
      </c>
      <c r="F31" s="455"/>
      <c r="G31" s="455"/>
      <c r="H31" s="185">
        <f>+(D31*100%)/$G$23+H30</f>
        <v>0.4</v>
      </c>
      <c r="I31" s="455"/>
      <c r="J31" s="36"/>
      <c r="K31" s="36"/>
    </row>
    <row r="32" spans="2:14" ht="19.5" customHeight="1" x14ac:dyDescent="0.2">
      <c r="B32" s="173" t="s">
        <v>156</v>
      </c>
      <c r="C32" s="199">
        <v>2</v>
      </c>
      <c r="D32" s="186">
        <v>2</v>
      </c>
      <c r="E32" s="183">
        <f t="shared" si="0"/>
        <v>1</v>
      </c>
      <c r="F32" s="455"/>
      <c r="G32" s="455"/>
      <c r="H32" s="185">
        <f>+(D32*100%)/$G$23+H31</f>
        <v>0.60000000000000009</v>
      </c>
      <c r="I32" s="455"/>
      <c r="J32" s="36"/>
      <c r="K32" s="36"/>
    </row>
    <row r="33" spans="2:11" ht="19.5" customHeight="1" x14ac:dyDescent="0.2">
      <c r="B33" s="173" t="s">
        <v>157</v>
      </c>
      <c r="C33" s="199">
        <v>1</v>
      </c>
      <c r="D33" s="186">
        <v>1</v>
      </c>
      <c r="E33" s="183">
        <f t="shared" si="0"/>
        <v>1</v>
      </c>
      <c r="F33" s="455"/>
      <c r="G33" s="455"/>
      <c r="H33" s="185">
        <f>+(D33*100%)/$G$23+H32</f>
        <v>0.70000000000000007</v>
      </c>
      <c r="I33" s="455"/>
      <c r="J33" s="36"/>
      <c r="K33" s="36"/>
    </row>
    <row r="34" spans="2:11" ht="19.5" customHeight="1" x14ac:dyDescent="0.2">
      <c r="B34" s="173" t="s">
        <v>158</v>
      </c>
      <c r="C34" s="199">
        <v>1</v>
      </c>
      <c r="D34" s="186">
        <v>1</v>
      </c>
      <c r="E34" s="183">
        <f t="shared" si="0"/>
        <v>1</v>
      </c>
      <c r="F34" s="455"/>
      <c r="G34" s="455"/>
      <c r="H34" s="185">
        <f>+(D34*100%)/$G$23+H33</f>
        <v>0.8</v>
      </c>
      <c r="I34" s="455"/>
      <c r="J34" s="36"/>
      <c r="K34" s="36"/>
    </row>
    <row r="35" spans="2:11" ht="19.5" customHeight="1" x14ac:dyDescent="0.2">
      <c r="B35" s="173" t="s">
        <v>159</v>
      </c>
      <c r="C35" s="199">
        <v>1</v>
      </c>
      <c r="D35" s="186">
        <v>1</v>
      </c>
      <c r="E35" s="183">
        <f t="shared" si="0"/>
        <v>1</v>
      </c>
      <c r="F35" s="455"/>
      <c r="G35" s="455"/>
      <c r="H35" s="185">
        <f>+(D35*100%)/$G$23+H34</f>
        <v>0.9</v>
      </c>
      <c r="I35" s="455"/>
      <c r="J35" s="36"/>
      <c r="K35" s="36"/>
    </row>
    <row r="36" spans="2:11" ht="19.5" customHeight="1" x14ac:dyDescent="0.2">
      <c r="B36" s="173" t="s">
        <v>160</v>
      </c>
      <c r="C36" s="199">
        <v>1</v>
      </c>
      <c r="D36" s="186"/>
      <c r="E36" s="183">
        <f t="shared" si="0"/>
        <v>0</v>
      </c>
      <c r="F36" s="455"/>
      <c r="G36" s="455"/>
      <c r="H36" s="185">
        <f t="shared" ref="H36:H38" si="2">+(D36*100%)/$G$23</f>
        <v>0</v>
      </c>
      <c r="I36" s="455"/>
      <c r="J36" s="36"/>
      <c r="K36" s="36"/>
    </row>
    <row r="37" spans="2:11" ht="19.5" customHeight="1" x14ac:dyDescent="0.2">
      <c r="B37" s="173" t="s">
        <v>161</v>
      </c>
      <c r="C37" s="199">
        <v>0</v>
      </c>
      <c r="D37" s="186"/>
      <c r="E37" s="183">
        <f t="shared" si="0"/>
        <v>0</v>
      </c>
      <c r="F37" s="455"/>
      <c r="G37" s="455"/>
      <c r="H37" s="185">
        <f t="shared" si="2"/>
        <v>0</v>
      </c>
      <c r="I37" s="455"/>
      <c r="J37" s="36"/>
      <c r="K37" s="36"/>
    </row>
    <row r="38" spans="2:11" ht="19.5" customHeight="1" x14ac:dyDescent="0.2">
      <c r="B38" s="173" t="s">
        <v>162</v>
      </c>
      <c r="C38" s="199">
        <v>0</v>
      </c>
      <c r="D38" s="186"/>
      <c r="E38" s="183">
        <f t="shared" si="0"/>
        <v>0</v>
      </c>
      <c r="F38" s="456"/>
      <c r="G38" s="456"/>
      <c r="H38" s="185">
        <f t="shared" si="2"/>
        <v>0</v>
      </c>
      <c r="I38" s="456"/>
      <c r="J38" s="36"/>
      <c r="K38" s="36"/>
    </row>
    <row r="39" spans="2:11" ht="203.25" customHeight="1" x14ac:dyDescent="0.2">
      <c r="B39" s="174" t="s">
        <v>271</v>
      </c>
      <c r="C39" s="493" t="s">
        <v>392</v>
      </c>
      <c r="D39" s="494"/>
      <c r="E39" s="494"/>
      <c r="F39" s="494"/>
      <c r="G39" s="494"/>
      <c r="H39" s="494"/>
      <c r="I39" s="495"/>
      <c r="J39" s="37"/>
      <c r="K39" s="37"/>
    </row>
    <row r="40" spans="2:11" ht="55.5" customHeight="1" x14ac:dyDescent="0.2">
      <c r="B40" s="422"/>
      <c r="C40" s="315"/>
      <c r="D40" s="315"/>
      <c r="E40" s="315"/>
      <c r="F40" s="315"/>
      <c r="G40" s="315"/>
      <c r="H40" s="315"/>
      <c r="I40" s="423"/>
      <c r="J40" s="14"/>
      <c r="K40" s="14"/>
    </row>
    <row r="41" spans="2:11" ht="55.5" customHeight="1" x14ac:dyDescent="0.2">
      <c r="B41" s="424"/>
      <c r="C41" s="318"/>
      <c r="D41" s="318"/>
      <c r="E41" s="318"/>
      <c r="F41" s="318"/>
      <c r="G41" s="318"/>
      <c r="H41" s="318"/>
      <c r="I41" s="425"/>
      <c r="J41" s="37"/>
      <c r="K41" s="37"/>
    </row>
    <row r="42" spans="2:11" ht="56.25" customHeight="1" x14ac:dyDescent="0.2">
      <c r="B42" s="424"/>
      <c r="C42" s="318"/>
      <c r="D42" s="318"/>
      <c r="E42" s="318"/>
      <c r="F42" s="318"/>
      <c r="G42" s="318"/>
      <c r="H42" s="318"/>
      <c r="I42" s="425"/>
      <c r="J42" s="37"/>
      <c r="K42" s="37"/>
    </row>
    <row r="43" spans="2:11" ht="18" customHeight="1" x14ac:dyDescent="0.2">
      <c r="B43" s="424"/>
      <c r="C43" s="318"/>
      <c r="D43" s="318"/>
      <c r="E43" s="318"/>
      <c r="F43" s="318"/>
      <c r="G43" s="318"/>
      <c r="H43" s="318"/>
      <c r="I43" s="425"/>
      <c r="J43" s="37"/>
      <c r="K43" s="37"/>
    </row>
    <row r="44" spans="2:11" ht="21.75" hidden="1" customHeight="1" x14ac:dyDescent="0.2">
      <c r="B44" s="426"/>
      <c r="C44" s="321"/>
      <c r="D44" s="321"/>
      <c r="E44" s="321"/>
      <c r="F44" s="321"/>
      <c r="G44" s="321"/>
      <c r="H44" s="321"/>
      <c r="I44" s="427"/>
      <c r="J44" s="12"/>
      <c r="K44" s="12"/>
    </row>
    <row r="45" spans="2:11" ht="155.25" customHeight="1" x14ac:dyDescent="0.2">
      <c r="B45" s="164" t="s">
        <v>272</v>
      </c>
      <c r="C45" s="496" t="s">
        <v>390</v>
      </c>
      <c r="D45" s="497"/>
      <c r="E45" s="497"/>
      <c r="F45" s="497"/>
      <c r="G45" s="497"/>
      <c r="H45" s="497"/>
      <c r="I45" s="498"/>
      <c r="J45" s="38"/>
      <c r="K45" s="38"/>
    </row>
    <row r="46" spans="2:11" ht="33" customHeight="1" x14ac:dyDescent="0.2">
      <c r="B46" s="164" t="s">
        <v>273</v>
      </c>
      <c r="C46" s="499" t="s">
        <v>325</v>
      </c>
      <c r="D46" s="499"/>
      <c r="E46" s="499"/>
      <c r="F46" s="499"/>
      <c r="G46" s="499"/>
      <c r="H46" s="499"/>
      <c r="I46" s="499"/>
      <c r="J46" s="38"/>
      <c r="K46" s="38"/>
    </row>
    <row r="47" spans="2:11" ht="81.75" customHeight="1" x14ac:dyDescent="0.2">
      <c r="B47" s="175" t="s">
        <v>274</v>
      </c>
      <c r="C47" s="500" t="s">
        <v>354</v>
      </c>
      <c r="D47" s="500"/>
      <c r="E47" s="500"/>
      <c r="F47" s="500"/>
      <c r="G47" s="500"/>
      <c r="H47" s="500"/>
      <c r="I47" s="500"/>
      <c r="J47" s="38"/>
      <c r="K47" s="38"/>
    </row>
    <row r="48" spans="2:11" ht="22.5" customHeight="1" x14ac:dyDescent="0.2">
      <c r="B48" s="434" t="s">
        <v>276</v>
      </c>
      <c r="C48" s="434"/>
      <c r="D48" s="434"/>
      <c r="E48" s="434"/>
      <c r="F48" s="434"/>
      <c r="G48" s="434"/>
      <c r="H48" s="434"/>
      <c r="I48" s="434"/>
      <c r="J48" s="38"/>
      <c r="K48" s="38"/>
    </row>
    <row r="49" spans="2:11" ht="22.5" customHeight="1" x14ac:dyDescent="0.2">
      <c r="B49" s="418" t="s">
        <v>277</v>
      </c>
      <c r="C49" s="177" t="s">
        <v>278</v>
      </c>
      <c r="D49" s="420" t="s">
        <v>279</v>
      </c>
      <c r="E49" s="420"/>
      <c r="F49" s="420"/>
      <c r="G49" s="420" t="s">
        <v>280</v>
      </c>
      <c r="H49" s="420"/>
      <c r="I49" s="420"/>
      <c r="J49" s="39"/>
      <c r="K49" s="39"/>
    </row>
    <row r="50" spans="2:11" ht="30.75" customHeight="1" x14ac:dyDescent="0.2">
      <c r="B50" s="419"/>
      <c r="C50" s="178"/>
      <c r="D50" s="421"/>
      <c r="E50" s="421"/>
      <c r="F50" s="421"/>
      <c r="G50" s="421"/>
      <c r="H50" s="421"/>
      <c r="I50" s="421"/>
      <c r="J50" s="39"/>
      <c r="K50" s="39"/>
    </row>
    <row r="51" spans="2:11" ht="32.25" customHeight="1" x14ac:dyDescent="0.2">
      <c r="B51" s="176" t="s">
        <v>281</v>
      </c>
      <c r="C51" s="421" t="s">
        <v>355</v>
      </c>
      <c r="D51" s="421"/>
      <c r="E51" s="421"/>
      <c r="F51" s="421"/>
      <c r="G51" s="421"/>
      <c r="H51" s="421"/>
      <c r="I51" s="421"/>
      <c r="J51" s="42"/>
      <c r="K51" s="42"/>
    </row>
    <row r="52" spans="2:11" ht="28.5" customHeight="1" x14ac:dyDescent="0.2">
      <c r="B52" s="167" t="s">
        <v>283</v>
      </c>
      <c r="C52" s="435" t="s">
        <v>302</v>
      </c>
      <c r="D52" s="436"/>
      <c r="E52" s="436"/>
      <c r="F52" s="436"/>
      <c r="G52" s="436"/>
      <c r="H52" s="436"/>
      <c r="I52" s="437"/>
      <c r="J52" s="42"/>
      <c r="K52" s="42"/>
    </row>
    <row r="53" spans="2:11" ht="30" customHeight="1" x14ac:dyDescent="0.2">
      <c r="B53" s="175" t="s">
        <v>285</v>
      </c>
      <c r="C53" s="421" t="s">
        <v>286</v>
      </c>
      <c r="D53" s="421"/>
      <c r="E53" s="421"/>
      <c r="F53" s="421"/>
      <c r="G53" s="421"/>
      <c r="H53" s="421"/>
      <c r="I53" s="421"/>
      <c r="J53" s="43"/>
      <c r="K53" s="43"/>
    </row>
    <row r="54" spans="2:11" ht="31.5" customHeight="1" x14ac:dyDescent="0.2">
      <c r="B54" s="175" t="s">
        <v>287</v>
      </c>
      <c r="C54" s="421"/>
      <c r="D54" s="421"/>
      <c r="E54" s="421"/>
      <c r="F54" s="421"/>
      <c r="G54" s="421"/>
      <c r="H54" s="421"/>
      <c r="I54" s="421"/>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29 F27:G38 H36: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14</v>
      </c>
      <c r="D9" s="375" t="s">
        <v>73</v>
      </c>
      <c r="E9" s="375"/>
      <c r="F9" s="326" t="s">
        <v>356</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76"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501" t="s">
        <v>225</v>
      </c>
      <c r="I12" s="502"/>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357</v>
      </c>
      <c r="D14" s="361"/>
      <c r="E14" s="361"/>
      <c r="F14" s="361"/>
      <c r="G14" s="361"/>
      <c r="H14" s="361"/>
      <c r="I14" s="362"/>
      <c r="J14" s="17"/>
      <c r="K14" s="17"/>
      <c r="M14" s="21"/>
      <c r="N14" s="6" t="s">
        <v>96</v>
      </c>
    </row>
    <row r="15" spans="2:14" ht="30.75" customHeight="1" x14ac:dyDescent="0.2">
      <c r="B15" s="18" t="s">
        <v>97</v>
      </c>
      <c r="C15" s="326" t="s">
        <v>358</v>
      </c>
      <c r="D15" s="327"/>
      <c r="E15" s="327"/>
      <c r="F15" s="4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503" t="s">
        <v>359</v>
      </c>
      <c r="D17" s="504"/>
      <c r="E17" s="504"/>
      <c r="F17" s="504"/>
      <c r="G17" s="504"/>
      <c r="H17" s="504"/>
      <c r="I17" s="505"/>
      <c r="J17" s="22"/>
      <c r="K17" s="22"/>
      <c r="M17" s="21" t="s">
        <v>108</v>
      </c>
      <c r="N17" s="6" t="s">
        <v>109</v>
      </c>
    </row>
    <row r="18" spans="2:14" ht="30.75" customHeight="1" x14ac:dyDescent="0.2">
      <c r="B18" s="18" t="s">
        <v>110</v>
      </c>
      <c r="C18" s="326" t="s">
        <v>360</v>
      </c>
      <c r="D18" s="327"/>
      <c r="E18" s="327"/>
      <c r="F18" s="327"/>
      <c r="G18" s="327"/>
      <c r="H18" s="327"/>
      <c r="I18" s="328"/>
      <c r="J18" s="23"/>
      <c r="K18" s="23"/>
      <c r="M18" s="21" t="s">
        <v>112</v>
      </c>
      <c r="N18" s="6" t="s">
        <v>113</v>
      </c>
    </row>
    <row r="19" spans="2:14" ht="30.75" customHeight="1" x14ac:dyDescent="0.2">
      <c r="B19" s="18" t="s">
        <v>114</v>
      </c>
      <c r="C19" s="441" t="s">
        <v>361</v>
      </c>
      <c r="D19" s="442"/>
      <c r="E19" s="442"/>
      <c r="F19" s="442"/>
      <c r="G19" s="442"/>
      <c r="H19" s="442"/>
      <c r="I19" s="443"/>
      <c r="J19" s="24"/>
      <c r="K19" s="24"/>
      <c r="M19" s="21"/>
      <c r="N19" s="6" t="s">
        <v>116</v>
      </c>
    </row>
    <row r="20" spans="2:14" ht="30.75" customHeight="1" x14ac:dyDescent="0.2">
      <c r="B20" s="18" t="s">
        <v>117</v>
      </c>
      <c r="C20" s="506" t="s">
        <v>41</v>
      </c>
      <c r="D20" s="507"/>
      <c r="E20" s="507"/>
      <c r="F20" s="507"/>
      <c r="G20" s="507"/>
      <c r="H20" s="507"/>
      <c r="I20" s="508"/>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441" t="s">
        <v>362</v>
      </c>
      <c r="D22" s="442"/>
      <c r="E22" s="451"/>
      <c r="F22" s="441" t="s">
        <v>363</v>
      </c>
      <c r="G22" s="442"/>
      <c r="H22" s="442"/>
      <c r="I22" s="443"/>
      <c r="J22" s="24"/>
      <c r="K22" s="24"/>
      <c r="M22" s="21" t="s">
        <v>126</v>
      </c>
      <c r="N22" s="6" t="s">
        <v>127</v>
      </c>
    </row>
    <row r="23" spans="2:14" ht="39.75" customHeight="1" x14ac:dyDescent="0.2">
      <c r="B23" s="18" t="s">
        <v>128</v>
      </c>
      <c r="C23" s="360" t="s">
        <v>41</v>
      </c>
      <c r="D23" s="361"/>
      <c r="E23" s="509"/>
      <c r="F23" s="360" t="s">
        <v>41</v>
      </c>
      <c r="G23" s="361"/>
      <c r="H23" s="361"/>
      <c r="I23" s="362"/>
      <c r="J23" s="17"/>
      <c r="K23" s="17"/>
      <c r="M23" s="21"/>
      <c r="N23" s="6" t="s">
        <v>93</v>
      </c>
    </row>
    <row r="24" spans="2:14" ht="44.25" customHeight="1" x14ac:dyDescent="0.2">
      <c r="B24" s="18" t="s">
        <v>129</v>
      </c>
      <c r="C24" s="438" t="s">
        <v>364</v>
      </c>
      <c r="D24" s="439"/>
      <c r="E24" s="440"/>
      <c r="F24" s="441" t="s">
        <v>365</v>
      </c>
      <c r="G24" s="442"/>
      <c r="H24" s="442"/>
      <c r="I24" s="443"/>
      <c r="J24" s="23"/>
      <c r="K24" s="23"/>
      <c r="M24" s="27"/>
      <c r="N24" s="6" t="s">
        <v>132</v>
      </c>
    </row>
    <row r="25" spans="2:14" ht="29.25" customHeight="1" x14ac:dyDescent="0.2">
      <c r="B25" s="18" t="s">
        <v>133</v>
      </c>
      <c r="C25" s="329" t="s">
        <v>103</v>
      </c>
      <c r="D25" s="330"/>
      <c r="E25" s="331"/>
      <c r="F25" s="16" t="s">
        <v>134</v>
      </c>
      <c r="G25" s="510">
        <v>74</v>
      </c>
      <c r="H25" s="511"/>
      <c r="I25" s="512"/>
      <c r="J25" s="28"/>
      <c r="K25" s="28"/>
      <c r="M25" s="27"/>
    </row>
    <row r="26" spans="2:14" ht="27" customHeight="1" x14ac:dyDescent="0.2">
      <c r="B26" s="18" t="s">
        <v>135</v>
      </c>
      <c r="C26" s="326" t="s">
        <v>136</v>
      </c>
      <c r="D26" s="327"/>
      <c r="E26" s="447"/>
      <c r="F26" s="16" t="s">
        <v>137</v>
      </c>
      <c r="G26" s="510">
        <v>0</v>
      </c>
      <c r="H26" s="511"/>
      <c r="I26" s="512"/>
      <c r="J26" s="29"/>
      <c r="K26" s="29"/>
      <c r="M26" s="27"/>
    </row>
    <row r="27" spans="2:14" ht="47.25" customHeight="1" x14ac:dyDescent="0.2">
      <c r="B27" s="97" t="s">
        <v>138</v>
      </c>
      <c r="C27" s="360" t="s">
        <v>108</v>
      </c>
      <c r="D27" s="361"/>
      <c r="E27" s="509"/>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284"/>
      <c r="D42" s="284"/>
      <c r="E42" s="284"/>
      <c r="F42" s="284"/>
      <c r="G42" s="284"/>
      <c r="H42" s="284"/>
      <c r="I42" s="302"/>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79.5" customHeight="1" x14ac:dyDescent="0.2">
      <c r="B49" s="18" t="s">
        <v>165</v>
      </c>
      <c r="C49" s="513"/>
      <c r="D49" s="514"/>
      <c r="E49" s="514"/>
      <c r="F49" s="514"/>
      <c r="G49" s="514"/>
      <c r="H49" s="514"/>
      <c r="I49" s="515"/>
      <c r="J49" s="38"/>
      <c r="K49" s="38"/>
    </row>
    <row r="50" spans="2:11" ht="26.25" customHeight="1" x14ac:dyDescent="0.2">
      <c r="B50" s="18" t="s">
        <v>166</v>
      </c>
      <c r="C50" s="516"/>
      <c r="D50" s="517"/>
      <c r="E50" s="517"/>
      <c r="F50" s="517"/>
      <c r="G50" s="517"/>
      <c r="H50" s="517"/>
      <c r="I50" s="518"/>
      <c r="J50" s="38"/>
      <c r="K50" s="38"/>
    </row>
    <row r="51" spans="2:11" ht="64.5" customHeight="1" x14ac:dyDescent="0.2">
      <c r="B51" s="112" t="s">
        <v>167</v>
      </c>
      <c r="C51" s="513"/>
      <c r="D51" s="514"/>
      <c r="E51" s="514"/>
      <c r="F51" s="514"/>
      <c r="G51" s="514"/>
      <c r="H51" s="514"/>
      <c r="I51" s="515"/>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107"/>
      <c r="D54" s="284"/>
      <c r="E54" s="284"/>
      <c r="F54" s="284"/>
      <c r="G54" s="312"/>
      <c r="H54" s="312"/>
      <c r="I54" s="313"/>
      <c r="J54" s="39"/>
      <c r="K54" s="39"/>
    </row>
    <row r="55" spans="2:11" ht="31.5" customHeight="1" x14ac:dyDescent="0.2">
      <c r="B55" s="112" t="s">
        <v>173</v>
      </c>
      <c r="C55" s="519" t="s">
        <v>366</v>
      </c>
      <c r="D55" s="520"/>
      <c r="E55" s="297" t="s">
        <v>175</v>
      </c>
      <c r="F55" s="297"/>
      <c r="G55" s="296" t="s">
        <v>367</v>
      </c>
      <c r="H55" s="296"/>
      <c r="I55" s="298"/>
      <c r="J55" s="41"/>
      <c r="K55" s="41"/>
    </row>
    <row r="56" spans="2:11" ht="31.5" customHeight="1" x14ac:dyDescent="0.2">
      <c r="B56" s="112" t="s">
        <v>177</v>
      </c>
      <c r="C56" s="284" t="str">
        <f>+'[3]HV 1'!C56:D56</f>
        <v>NICOLAS ADOLFO CORREAL HUERTAS</v>
      </c>
      <c r="D56" s="284"/>
      <c r="E56" s="299" t="s">
        <v>178</v>
      </c>
      <c r="F56" s="299"/>
      <c r="G56" s="296" t="str">
        <f>+'[7]HV 1'!G59:I59</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5.85546875" customWidth="1"/>
    <col min="6" max="6" width="46.85546875" customWidth="1"/>
    <col min="7" max="8" width="16.140625" customWidth="1"/>
    <col min="9" max="9" width="16.285156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1"/>
      <c r="C1" s="404" t="s">
        <v>0</v>
      </c>
      <c r="D1" s="405"/>
      <c r="E1" s="405"/>
      <c r="F1" s="405"/>
      <c r="G1" s="405"/>
      <c r="H1" s="406"/>
      <c r="I1" s="407"/>
      <c r="J1" s="408"/>
    </row>
    <row r="2" spans="2:11" ht="18" customHeight="1" thickBot="1" x14ac:dyDescent="0.3">
      <c r="B2" s="402"/>
      <c r="C2" s="404" t="s">
        <v>1</v>
      </c>
      <c r="D2" s="405"/>
      <c r="E2" s="405"/>
      <c r="F2" s="405"/>
      <c r="G2" s="405"/>
      <c r="H2" s="406"/>
      <c r="I2" s="409"/>
      <c r="J2" s="410"/>
    </row>
    <row r="3" spans="2:11" ht="18" customHeight="1" thickBot="1" x14ac:dyDescent="0.3">
      <c r="B3" s="402"/>
      <c r="C3" s="404" t="s">
        <v>368</v>
      </c>
      <c r="D3" s="405"/>
      <c r="E3" s="405"/>
      <c r="F3" s="405"/>
      <c r="G3" s="405"/>
      <c r="H3" s="406"/>
      <c r="I3" s="409"/>
      <c r="J3" s="410"/>
    </row>
    <row r="4" spans="2:11" ht="18" customHeight="1" thickBot="1" x14ac:dyDescent="0.3">
      <c r="B4" s="403"/>
      <c r="C4" s="404" t="s">
        <v>183</v>
      </c>
      <c r="D4" s="405"/>
      <c r="E4" s="405"/>
      <c r="F4" s="406"/>
      <c r="G4" s="413" t="s">
        <v>184</v>
      </c>
      <c r="H4" s="414"/>
      <c r="I4" s="411"/>
      <c r="J4" s="412"/>
    </row>
    <row r="5" spans="2:11" ht="18" customHeight="1" thickBot="1" x14ac:dyDescent="0.3">
      <c r="B5" s="53"/>
      <c r="C5" s="10"/>
      <c r="D5" s="10"/>
      <c r="E5" s="10"/>
      <c r="F5" s="10"/>
      <c r="G5" s="10"/>
      <c r="H5" s="10"/>
      <c r="I5" s="10"/>
      <c r="J5" s="54"/>
    </row>
    <row r="6" spans="2:11" ht="51.75" customHeight="1" thickBot="1" x14ac:dyDescent="0.3">
      <c r="B6" s="1" t="s">
        <v>369</v>
      </c>
      <c r="C6" s="415" t="str">
        <f>+'[5]Sección 1. Metas - Magnitud'!C7</f>
        <v>1032 - Gestión y control de tránsito y transporte</v>
      </c>
      <c r="D6" s="416"/>
      <c r="E6" s="417"/>
      <c r="F6" s="55"/>
      <c r="G6" s="10"/>
      <c r="H6" s="10"/>
      <c r="I6" s="10"/>
      <c r="J6" s="54"/>
    </row>
    <row r="7" spans="2:11" ht="32.25" customHeight="1" thickBot="1" x14ac:dyDescent="0.3">
      <c r="B7" s="2" t="s">
        <v>186</v>
      </c>
      <c r="C7" s="415" t="str">
        <f>+'[5]Sección 1. Metas - Magnitud'!C8:F8</f>
        <v>Dirección de Control y Vigilancia</v>
      </c>
      <c r="D7" s="416"/>
      <c r="E7" s="417"/>
      <c r="F7" s="55"/>
      <c r="G7" s="10"/>
      <c r="H7" s="10"/>
      <c r="I7" s="10"/>
      <c r="J7" s="54"/>
    </row>
    <row r="8" spans="2:11" ht="32.25" customHeight="1" thickBot="1" x14ac:dyDescent="0.3">
      <c r="B8" s="2" t="s">
        <v>187</v>
      </c>
      <c r="C8" s="415" t="str">
        <f>+'[5]Sección 1. Metas - Magnitud'!C9:F9</f>
        <v>Subsecretaría de Servicios de la Movilidad</v>
      </c>
      <c r="D8" s="416"/>
      <c r="E8" s="417"/>
      <c r="F8" s="4"/>
      <c r="G8" s="10"/>
      <c r="H8" s="10"/>
      <c r="I8" s="10"/>
      <c r="J8" s="54"/>
    </row>
    <row r="9" spans="2:11" ht="33.75" customHeight="1" thickBot="1" x14ac:dyDescent="0.3">
      <c r="B9" s="2" t="s">
        <v>188</v>
      </c>
      <c r="C9" s="415" t="s">
        <v>189</v>
      </c>
      <c r="D9" s="416"/>
      <c r="E9" s="417"/>
      <c r="F9" s="55"/>
      <c r="G9" s="10"/>
      <c r="H9" s="10"/>
      <c r="I9" s="10"/>
      <c r="J9" s="54"/>
    </row>
    <row r="10" spans="2:11" ht="33.75" customHeight="1" thickBot="1" x14ac:dyDescent="0.3">
      <c r="B10" s="100" t="s">
        <v>190</v>
      </c>
      <c r="C10" s="415" t="str">
        <f>+'[7]HV 14'!F9</f>
        <v>14. Realizar 241 visitas administrativas y de seguimiento a empresas prestadoras del servicio público de transporte.</v>
      </c>
      <c r="D10" s="416"/>
      <c r="E10" s="417"/>
      <c r="F10" s="55"/>
      <c r="G10" s="10"/>
      <c r="H10" s="10"/>
      <c r="I10" s="10"/>
      <c r="J10" s="54"/>
    </row>
    <row r="11" spans="2:11" ht="34.5" customHeight="1" x14ac:dyDescent="0.25"/>
    <row r="12" spans="2:11" ht="21.75" customHeight="1" x14ac:dyDescent="0.25">
      <c r="B12" s="394" t="s">
        <v>370</v>
      </c>
      <c r="C12" s="395"/>
      <c r="D12" s="395"/>
      <c r="E12" s="395"/>
      <c r="F12" s="395"/>
      <c r="G12" s="395"/>
      <c r="H12" s="396"/>
      <c r="I12" s="527" t="s">
        <v>192</v>
      </c>
      <c r="J12" s="528"/>
      <c r="K12" s="52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25"/>
    </row>
    <row r="16" spans="2:11" x14ac:dyDescent="0.25">
      <c r="B16" s="143"/>
      <c r="C16" s="144"/>
      <c r="D16" s="145"/>
      <c r="E16" s="146"/>
      <c r="F16" s="144"/>
      <c r="G16" s="145"/>
      <c r="H16" s="147"/>
      <c r="I16" s="148"/>
      <c r="J16" s="149"/>
      <c r="K16" s="52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1" t="s">
        <v>209</v>
      </c>
      <c r="C19" s="522"/>
      <c r="D19" s="157">
        <f>SUM(D15:D16)</f>
        <v>0</v>
      </c>
      <c r="E19" s="523" t="s">
        <v>209</v>
      </c>
      <c r="F19" s="52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ColWidth="11.42578125" defaultRowHeight="15" x14ac:dyDescent="0.25"/>
  <sheetData>
    <row r="9" spans="10:12" x14ac:dyDescent="0.25">
      <c r="K9" s="131" t="s">
        <v>371</v>
      </c>
      <c r="L9" s="131" t="s">
        <v>372</v>
      </c>
    </row>
    <row r="10" spans="10:12" x14ac:dyDescent="0.25">
      <c r="J10" s="128" t="s">
        <v>373</v>
      </c>
      <c r="K10" s="128">
        <v>77</v>
      </c>
      <c r="L10" s="128">
        <v>2</v>
      </c>
    </row>
    <row r="11" spans="10:12" x14ac:dyDescent="0.25">
      <c r="J11" s="102"/>
      <c r="K11" s="102"/>
      <c r="L11" s="102">
        <v>37</v>
      </c>
    </row>
    <row r="12" spans="10:12" x14ac:dyDescent="0.25">
      <c r="J12" s="102"/>
      <c r="K12" s="102"/>
      <c r="L12" s="102">
        <v>43</v>
      </c>
    </row>
    <row r="13" spans="10:12" x14ac:dyDescent="0.25">
      <c r="K13" s="102" t="s">
        <v>374</v>
      </c>
      <c r="L13" s="126">
        <f>SUM(L10:L12)</f>
        <v>82</v>
      </c>
    </row>
    <row r="14" spans="10:12" x14ac:dyDescent="0.25">
      <c r="J14" s="128" t="s">
        <v>375</v>
      </c>
      <c r="K14" s="128">
        <v>115</v>
      </c>
      <c r="L14" s="128">
        <v>16</v>
      </c>
    </row>
    <row r="15" spans="10:12" x14ac:dyDescent="0.25">
      <c r="J15" s="102"/>
      <c r="K15" s="102"/>
      <c r="L15" s="102">
        <v>27</v>
      </c>
    </row>
    <row r="16" spans="10:12" x14ac:dyDescent="0.25">
      <c r="J16" s="102"/>
      <c r="K16" s="102"/>
      <c r="L16" s="102">
        <v>10</v>
      </c>
    </row>
    <row r="17" spans="10:14" x14ac:dyDescent="0.25">
      <c r="J17" s="102"/>
      <c r="K17" s="102" t="s">
        <v>374</v>
      </c>
      <c r="L17" s="126">
        <f>SUM(L14:L16)</f>
        <v>53</v>
      </c>
    </row>
    <row r="18" spans="10:14" x14ac:dyDescent="0.25">
      <c r="J18" s="128" t="s">
        <v>376</v>
      </c>
      <c r="K18" s="128">
        <v>7</v>
      </c>
      <c r="L18" s="128">
        <v>13</v>
      </c>
    </row>
    <row r="19" spans="10:14" x14ac:dyDescent="0.25">
      <c r="J19" s="102"/>
      <c r="K19" s="102"/>
      <c r="L19" s="102">
        <v>14</v>
      </c>
    </row>
    <row r="20" spans="10:14" x14ac:dyDescent="0.25">
      <c r="J20" s="102"/>
      <c r="K20" s="102"/>
      <c r="L20" s="102">
        <v>10</v>
      </c>
    </row>
    <row r="21" spans="10:14" x14ac:dyDescent="0.25">
      <c r="J21" s="102"/>
      <c r="K21" s="102" t="s">
        <v>374</v>
      </c>
      <c r="L21" s="126">
        <f>SUM(L18:L20)</f>
        <v>37</v>
      </c>
    </row>
    <row r="22" spans="10:14" x14ac:dyDescent="0.25">
      <c r="J22" s="128" t="s">
        <v>377</v>
      </c>
      <c r="K22" s="128">
        <v>52</v>
      </c>
      <c r="L22" s="128">
        <v>10</v>
      </c>
    </row>
    <row r="23" spans="10:14" x14ac:dyDescent="0.25">
      <c r="J23" s="102"/>
      <c r="K23" s="102"/>
      <c r="L23" s="102">
        <v>0</v>
      </c>
    </row>
    <row r="24" spans="10:14" x14ac:dyDescent="0.25">
      <c r="J24" s="102"/>
      <c r="K24" s="102"/>
      <c r="L24" s="102">
        <v>59</v>
      </c>
    </row>
    <row r="25" spans="10:14" x14ac:dyDescent="0.25">
      <c r="J25" s="102"/>
      <c r="K25" s="102" t="s">
        <v>374</v>
      </c>
      <c r="L25" s="126">
        <f>SUM(L22:L24)</f>
        <v>69</v>
      </c>
    </row>
    <row r="27" spans="10:14" x14ac:dyDescent="0.2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Edgar OAP</cp:lastModifiedBy>
  <cp:revision/>
  <dcterms:created xsi:type="dcterms:W3CDTF">2010-03-25T16:40:43Z</dcterms:created>
  <dcterms:modified xsi:type="dcterms:W3CDTF">2023-10-09T19:26:39Z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